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showInkAnnotation="0" codeName="ThisWorkbook" defaultThemeVersion="124226"/>
  <mc:AlternateContent xmlns:mc="http://schemas.openxmlformats.org/markup-compatibility/2006">
    <mc:Choice Requires="x15">
      <x15ac:absPath xmlns:x15ac="http://schemas.microsoft.com/office/spreadsheetml/2010/11/ac" url="https://dancogroup-my.sharepoint.com/personal/hwilson_danco-group_com/Documents/Applications 2026/5.19 - CA 4% 2nd Round 2026/Moraga Park Street/"/>
    </mc:Choice>
  </mc:AlternateContent>
  <xr:revisionPtr revIDLastSave="712" documentId="8_{BA615D31-55B4-4AA2-B8B8-3BAD807E9B24}" xr6:coauthVersionLast="47" xr6:coauthVersionMax="47" xr10:uidLastSave="{467C4749-D7F5-441D-B156-4108931A028F}"/>
  <workbookProtection workbookAlgorithmName="SHA-512" workbookHashValue="YuhBrYdK8nqAJkR8NgC5cxdB3shNafSNq8K+Z637cyyAqXN+It6d7wP93IQ6rzdXd0/+pW0MlQD+yfvDQ0EH6w==" workbookSaltValue="CrA/tfdsF3jDRxUgXybMiA==" workbookSpinCount="100000" lockStructure="1"/>
  <bookViews>
    <workbookView xWindow="20055" yWindow="1920" windowWidth="28665" windowHeight="17475" tabRatio="889" firstSheet="3" activeTab="3"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4"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Application!$J$966:$S$966</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Application!$BN$520:$BN$545</definedName>
    <definedName name="_xlnm.Print_Area" localSheetId="11">'15 Year Pro Forma'!$A$1:$AH$77</definedName>
    <definedName name="_xlnm.Print_Area" localSheetId="3">Application!$A:$AT</definedName>
    <definedName name="_xlnm.Print_Area" localSheetId="2">'Application Checklist'!$A$1:$I$1142</definedName>
    <definedName name="_xlnm.Print_Area" localSheetId="7">'Basis &amp; Credits'!$A$1:$AN$92</definedName>
    <definedName name="_xlnm.Print_Area" localSheetId="0">'Instructions-App Completion '!$A$1:$BP$392</definedName>
    <definedName name="_xlnm.Print_Area" localSheetId="1">'Instructions-Electronic Submit'!$A$1:$J$108</definedName>
    <definedName name="_xlnm.Print_Area" localSheetId="8">'Points System'!$A$1:$AM$845</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Breaker'!$A$1:$I$155</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Application!$AZ$717:$AZ$722</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System'!$A$1:$AM$845</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System'!$846:$63573,'Points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Application!$850:$974</definedName>
    <definedName name="Z_ACB87C9A_02C3_4C83_BBE4_E2C44A4D81CD_.wvu.PrintArea" localSheetId="11" hidden="1">'15 Year Pro Forma'!$A$1:$AH$77</definedName>
    <definedName name="Z_ACB87C9A_02C3_4C83_BBE4_E2C44A4D81CD_.wvu.PrintArea" localSheetId="3" hidden="1">Application!$A$1:$AL$1137</definedName>
    <definedName name="Z_ACB87C9A_02C3_4C83_BBE4_E2C44A4D81CD_.wvu.PrintArea" localSheetId="2" hidden="1">'Application Checklist'!$A$1:$G$830</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Checklist'!$1392:$65437,'Application Checklist'!$831:$1186,'Application Checklist'!$1391:$1391</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104" i="11" l="1"/>
  <c r="D104" i="11" s="1"/>
  <c r="B104" i="11"/>
  <c r="A104" i="11"/>
  <c r="C103" i="11"/>
  <c r="D103" i="11" s="1"/>
  <c r="B103" i="11"/>
  <c r="C102" i="11"/>
  <c r="D102" i="11" s="1"/>
  <c r="B102" i="11"/>
  <c r="C101" i="11"/>
  <c r="B101" i="11"/>
  <c r="D101" i="11" s="1"/>
  <c r="C100" i="11"/>
  <c r="C105" i="11" s="1"/>
  <c r="B100" i="11"/>
  <c r="B105" i="11" s="1"/>
  <c r="C96" i="11"/>
  <c r="B96" i="11"/>
  <c r="D96" i="11" s="1"/>
  <c r="C95" i="11"/>
  <c r="D95" i="11" s="1"/>
  <c r="B95" i="11"/>
  <c r="C94" i="11"/>
  <c r="D94" i="11" s="1"/>
  <c r="B94" i="11"/>
  <c r="C93" i="11"/>
  <c r="D93" i="11" s="1"/>
  <c r="B93" i="11"/>
  <c r="C92" i="11"/>
  <c r="B92" i="11"/>
  <c r="D92" i="11" s="1"/>
  <c r="C91" i="11"/>
  <c r="D91" i="11" s="1"/>
  <c r="B91" i="11"/>
  <c r="C90" i="11"/>
  <c r="D90" i="11" s="1"/>
  <c r="B90" i="11"/>
  <c r="C89" i="11"/>
  <c r="D89" i="11" s="1"/>
  <c r="B89" i="11"/>
  <c r="C88" i="11"/>
  <c r="D88" i="11" s="1"/>
  <c r="B88" i="11"/>
  <c r="C87" i="11"/>
  <c r="D87" i="11" s="1"/>
  <c r="B87" i="11"/>
  <c r="C86" i="11"/>
  <c r="D86" i="11" s="1"/>
  <c r="B86" i="11"/>
  <c r="C85" i="11"/>
  <c r="D85" i="11" s="1"/>
  <c r="B85" i="11"/>
  <c r="C84" i="11"/>
  <c r="C97" i="11" s="1"/>
  <c r="D97" i="11" s="1"/>
  <c r="B84" i="11"/>
  <c r="B97" i="11" s="1"/>
  <c r="B82" i="11"/>
  <c r="C81" i="11"/>
  <c r="C82" i="11" s="1"/>
  <c r="D82" i="11" s="1"/>
  <c r="B81" i="11"/>
  <c r="C80" i="11"/>
  <c r="D80" i="11" s="1"/>
  <c r="B80" i="11"/>
  <c r="C77" i="11"/>
  <c r="D77" i="11" s="1"/>
  <c r="B77" i="11"/>
  <c r="C76" i="11"/>
  <c r="D76" i="11" s="1"/>
  <c r="B76" i="11"/>
  <c r="C75" i="11"/>
  <c r="D75" i="11" s="1"/>
  <c r="B75" i="11"/>
  <c r="C74" i="11"/>
  <c r="D74" i="11" s="1"/>
  <c r="B74" i="11"/>
  <c r="B78" i="11" s="1"/>
  <c r="C73" i="11"/>
  <c r="D73" i="11" s="1"/>
  <c r="B73" i="11"/>
  <c r="C71" i="11"/>
  <c r="D71" i="11" s="1"/>
  <c r="C70" i="11"/>
  <c r="D70" i="11" s="1"/>
  <c r="B70" i="11"/>
  <c r="A70" i="11"/>
  <c r="C69" i="11"/>
  <c r="B69" i="11"/>
  <c r="C68" i="11"/>
  <c r="B68" i="11"/>
  <c r="C67" i="11"/>
  <c r="B67" i="11"/>
  <c r="B71" i="11" s="1"/>
  <c r="D66" i="11"/>
  <c r="C66" i="11"/>
  <c r="B66" i="11"/>
  <c r="D62" i="11"/>
  <c r="C62" i="11"/>
  <c r="B62" i="11"/>
  <c r="A62" i="11"/>
  <c r="C61" i="11"/>
  <c r="B61" i="11"/>
  <c r="D61" i="11" s="1"/>
  <c r="C60" i="11"/>
  <c r="D60" i="11" s="1"/>
  <c r="B60" i="11"/>
  <c r="C59" i="11"/>
  <c r="D59" i="11" s="1"/>
  <c r="B59" i="11"/>
  <c r="C58" i="11"/>
  <c r="C63" i="11" s="1"/>
  <c r="B58" i="11"/>
  <c r="B63" i="11" s="1"/>
  <c r="C57" i="11"/>
  <c r="B57" i="11"/>
  <c r="D57" i="11" s="1"/>
  <c r="C54" i="11"/>
  <c r="D54" i="11" s="1"/>
  <c r="B54" i="11"/>
  <c r="A54" i="11"/>
  <c r="C53" i="11"/>
  <c r="D53" i="11" s="1"/>
  <c r="B53" i="11"/>
  <c r="C52" i="11"/>
  <c r="D52" i="11" s="1"/>
  <c r="B52" i="11"/>
  <c r="C51" i="11"/>
  <c r="B51" i="11"/>
  <c r="D51" i="11" s="1"/>
  <c r="C50" i="11"/>
  <c r="D50" i="11" s="1"/>
  <c r="B50" i="11"/>
  <c r="C49" i="11"/>
  <c r="D49" i="11" s="1"/>
  <c r="B49" i="11"/>
  <c r="C48" i="11"/>
  <c r="D48" i="11" s="1"/>
  <c r="B48" i="11"/>
  <c r="C47" i="11"/>
  <c r="B47" i="11"/>
  <c r="D47" i="11" s="1"/>
  <c r="C46" i="11"/>
  <c r="D46" i="11" s="1"/>
  <c r="B46" i="11"/>
  <c r="B55" i="11" s="1"/>
  <c r="C44" i="11"/>
  <c r="D44" i="11" s="1"/>
  <c r="B44" i="11"/>
  <c r="C42" i="11"/>
  <c r="B42" i="11"/>
  <c r="D42" i="11" s="1"/>
  <c r="C41" i="11"/>
  <c r="C43" i="11" s="1"/>
  <c r="D43" i="11" s="1"/>
  <c r="B41" i="11"/>
  <c r="B43" i="11" s="1"/>
  <c r="C38" i="11"/>
  <c r="D38" i="11" s="1"/>
  <c r="B38" i="11"/>
  <c r="A38" i="11"/>
  <c r="C37" i="11"/>
  <c r="B37" i="11"/>
  <c r="C36" i="11"/>
  <c r="D36" i="11" s="1"/>
  <c r="B36" i="11"/>
  <c r="C35" i="11"/>
  <c r="D35" i="11" s="1"/>
  <c r="B35" i="11"/>
  <c r="C34" i="11"/>
  <c r="D34" i="11" s="1"/>
  <c r="B34" i="11"/>
  <c r="C33" i="11"/>
  <c r="B33" i="11"/>
  <c r="D33" i="11" s="1"/>
  <c r="C32" i="11"/>
  <c r="D32" i="11" s="1"/>
  <c r="B32" i="11"/>
  <c r="C31" i="11"/>
  <c r="D31" i="11" s="1"/>
  <c r="B31" i="11"/>
  <c r="C30" i="11"/>
  <c r="D30" i="11" s="1"/>
  <c r="B30" i="11"/>
  <c r="B39" i="11" s="1"/>
  <c r="C28" i="11"/>
  <c r="B28" i="11"/>
  <c r="D28" i="11" s="1"/>
  <c r="C26" i="11"/>
  <c r="C27" i="11" s="1"/>
  <c r="B26" i="11"/>
  <c r="A26" i="11"/>
  <c r="C25" i="11"/>
  <c r="B25" i="11"/>
  <c r="D25" i="11" s="1"/>
  <c r="C24" i="11"/>
  <c r="D24" i="11" s="1"/>
  <c r="B24" i="11"/>
  <c r="D23" i="11"/>
  <c r="C23" i="11"/>
  <c r="B23" i="11"/>
  <c r="D22" i="11"/>
  <c r="C22" i="11"/>
  <c r="B22" i="11"/>
  <c r="C21" i="11"/>
  <c r="B21" i="11"/>
  <c r="D21" i="11" s="1"/>
  <c r="C20" i="11"/>
  <c r="D20" i="11" s="1"/>
  <c r="B20" i="11"/>
  <c r="D19" i="11"/>
  <c r="C19" i="11"/>
  <c r="B19" i="11"/>
  <c r="B27" i="11" s="1"/>
  <c r="D18" i="11"/>
  <c r="C18" i="11"/>
  <c r="B18" i="11"/>
  <c r="C16" i="11"/>
  <c r="B16" i="11"/>
  <c r="D16" i="11" s="1"/>
  <c r="C15" i="11"/>
  <c r="D15" i="11" s="1"/>
  <c r="B15" i="11"/>
  <c r="D14" i="11"/>
  <c r="C14" i="11"/>
  <c r="B14" i="11"/>
  <c r="C11" i="11"/>
  <c r="D11" i="11" s="1"/>
  <c r="B11" i="11"/>
  <c r="D10" i="11"/>
  <c r="C10" i="11"/>
  <c r="C12" i="11" s="1"/>
  <c r="B10" i="11"/>
  <c r="B12" i="11" s="1"/>
  <c r="C8" i="11"/>
  <c r="B8" i="11"/>
  <c r="D8" i="11" s="1"/>
  <c r="C7" i="11"/>
  <c r="D7" i="11" s="1"/>
  <c r="B7" i="11"/>
  <c r="D6" i="11"/>
  <c r="C6" i="11"/>
  <c r="B6" i="11"/>
  <c r="D5" i="11"/>
  <c r="C5" i="11"/>
  <c r="C9" i="11" s="1"/>
  <c r="B5" i="11"/>
  <c r="B9" i="11" s="1"/>
  <c r="G69" i="7"/>
  <c r="I69" i="7" s="1"/>
  <c r="K69" i="7" s="1"/>
  <c r="M69" i="7" s="1"/>
  <c r="O69" i="7" s="1"/>
  <c r="Q69" i="7" s="1"/>
  <c r="S69" i="7" s="1"/>
  <c r="U69" i="7" s="1"/>
  <c r="W69" i="7" s="1"/>
  <c r="Y69" i="7" s="1"/>
  <c r="AA69" i="7" s="1"/>
  <c r="AC69" i="7" s="1"/>
  <c r="AE69" i="7" s="1"/>
  <c r="AG69" i="7" s="1"/>
  <c r="I68" i="7"/>
  <c r="K68" i="7" s="1"/>
  <c r="M68" i="7" s="1"/>
  <c r="O68" i="7" s="1"/>
  <c r="Q68" i="7" s="1"/>
  <c r="S68" i="7" s="1"/>
  <c r="U68" i="7" s="1"/>
  <c r="W68" i="7" s="1"/>
  <c r="Y68" i="7" s="1"/>
  <c r="AA68" i="7" s="1"/>
  <c r="AC68" i="7" s="1"/>
  <c r="AE68" i="7" s="1"/>
  <c r="AG68" i="7" s="1"/>
  <c r="G68" i="7"/>
  <c r="G58" i="7"/>
  <c r="E58" i="7"/>
  <c r="G57" i="7"/>
  <c r="I57" i="7" s="1"/>
  <c r="K57" i="7" s="1"/>
  <c r="M57" i="7" s="1"/>
  <c r="O57" i="7" s="1"/>
  <c r="Q57" i="7" s="1"/>
  <c r="S57" i="7" s="1"/>
  <c r="U57" i="7" s="1"/>
  <c r="W57" i="7" s="1"/>
  <c r="Y57" i="7" s="1"/>
  <c r="AA57" i="7" s="1"/>
  <c r="AC57" i="7" s="1"/>
  <c r="AE57" i="7" s="1"/>
  <c r="AG57" i="7" s="1"/>
  <c r="I56" i="7"/>
  <c r="K56" i="7" s="1"/>
  <c r="M56" i="7" s="1"/>
  <c r="O56" i="7" s="1"/>
  <c r="Q56" i="7" s="1"/>
  <c r="S56" i="7" s="1"/>
  <c r="U56" i="7" s="1"/>
  <c r="W56" i="7" s="1"/>
  <c r="Y56" i="7" s="1"/>
  <c r="AA56" i="7" s="1"/>
  <c r="AC56" i="7" s="1"/>
  <c r="AE56" i="7" s="1"/>
  <c r="AG56" i="7" s="1"/>
  <c r="G56" i="7"/>
  <c r="G55" i="7"/>
  <c r="I55" i="7" s="1"/>
  <c r="K55" i="7" s="1"/>
  <c r="M55" i="7" s="1"/>
  <c r="O55" i="7" s="1"/>
  <c r="Q55" i="7" s="1"/>
  <c r="S55" i="7" s="1"/>
  <c r="U55" i="7" s="1"/>
  <c r="W55" i="7" s="1"/>
  <c r="Y55" i="7" s="1"/>
  <c r="AA55" i="7" s="1"/>
  <c r="AC55" i="7" s="1"/>
  <c r="AE55" i="7" s="1"/>
  <c r="AG55" i="7" s="1"/>
  <c r="G54" i="7"/>
  <c r="I54" i="7" s="1"/>
  <c r="K54" i="7" s="1"/>
  <c r="M54" i="7" s="1"/>
  <c r="O54" i="7" s="1"/>
  <c r="Q54" i="7" s="1"/>
  <c r="S54" i="7" s="1"/>
  <c r="U54" i="7" s="1"/>
  <c r="W54" i="7" s="1"/>
  <c r="Y54" i="7" s="1"/>
  <c r="AA54" i="7" s="1"/>
  <c r="AC54" i="7" s="1"/>
  <c r="AE54" i="7" s="1"/>
  <c r="AG54" i="7" s="1"/>
  <c r="I53" i="7"/>
  <c r="K53" i="7" s="1"/>
  <c r="G53" i="7"/>
  <c r="AG42" i="7"/>
  <c r="AE42" i="7"/>
  <c r="AC42" i="7"/>
  <c r="AA42" i="7"/>
  <c r="Y42" i="7"/>
  <c r="W42" i="7"/>
  <c r="U42" i="7"/>
  <c r="S42" i="7"/>
  <c r="Q42" i="7"/>
  <c r="O42" i="7"/>
  <c r="M42" i="7"/>
  <c r="K42" i="7"/>
  <c r="I42" i="7"/>
  <c r="G42" i="7"/>
  <c r="AG41" i="7"/>
  <c r="AE41" i="7"/>
  <c r="AC41" i="7"/>
  <c r="AA41" i="7"/>
  <c r="Y41" i="7"/>
  <c r="W41" i="7"/>
  <c r="U41" i="7"/>
  <c r="S41" i="7"/>
  <c r="Q41" i="7"/>
  <c r="O41" i="7"/>
  <c r="M41" i="7"/>
  <c r="K41" i="7"/>
  <c r="I41" i="7"/>
  <c r="G41" i="7"/>
  <c r="AA40" i="7"/>
  <c r="AA43" i="7" s="1"/>
  <c r="W40" i="7"/>
  <c r="W43" i="7" s="1"/>
  <c r="E40" i="7"/>
  <c r="E43" i="7" s="1"/>
  <c r="A40" i="7"/>
  <c r="E33" i="7"/>
  <c r="G33" i="7" s="1"/>
  <c r="I33" i="7" s="1"/>
  <c r="K33" i="7" s="1"/>
  <c r="M33" i="7" s="1"/>
  <c r="O33" i="7" s="1"/>
  <c r="Q33" i="7" s="1"/>
  <c r="S33" i="7" s="1"/>
  <c r="U33" i="7" s="1"/>
  <c r="W33" i="7" s="1"/>
  <c r="Y33" i="7" s="1"/>
  <c r="AA33" i="7" s="1"/>
  <c r="AC33" i="7" s="1"/>
  <c r="AE33" i="7" s="1"/>
  <c r="AG33" i="7" s="1"/>
  <c r="A33" i="7"/>
  <c r="G32" i="7"/>
  <c r="I32" i="7" s="1"/>
  <c r="K32" i="7" s="1"/>
  <c r="M32" i="7" s="1"/>
  <c r="O32" i="7" s="1"/>
  <c r="Q32" i="7" s="1"/>
  <c r="S32" i="7" s="1"/>
  <c r="U32" i="7" s="1"/>
  <c r="W32" i="7" s="1"/>
  <c r="Y32" i="7" s="1"/>
  <c r="AA32" i="7" s="1"/>
  <c r="AC32" i="7" s="1"/>
  <c r="AE32" i="7" s="1"/>
  <c r="AG32" i="7" s="1"/>
  <c r="E32" i="7"/>
  <c r="A32" i="7"/>
  <c r="E31" i="7"/>
  <c r="G31" i="7" s="1"/>
  <c r="I31" i="7" s="1"/>
  <c r="K31" i="7" s="1"/>
  <c r="M31" i="7" s="1"/>
  <c r="O31" i="7" s="1"/>
  <c r="Q31" i="7" s="1"/>
  <c r="S31" i="7" s="1"/>
  <c r="U31" i="7" s="1"/>
  <c r="W31" i="7" s="1"/>
  <c r="Y31" i="7" s="1"/>
  <c r="AA31" i="7" s="1"/>
  <c r="AC31" i="7" s="1"/>
  <c r="AE31" i="7" s="1"/>
  <c r="AG31" i="7" s="1"/>
  <c r="E30" i="7"/>
  <c r="G30" i="7" s="1"/>
  <c r="I30" i="7" s="1"/>
  <c r="K30" i="7" s="1"/>
  <c r="M30" i="7" s="1"/>
  <c r="O30" i="7" s="1"/>
  <c r="Q30" i="7" s="1"/>
  <c r="S30" i="7" s="1"/>
  <c r="U30" i="7" s="1"/>
  <c r="W30" i="7" s="1"/>
  <c r="Y30" i="7" s="1"/>
  <c r="AA30" i="7" s="1"/>
  <c r="AC30" i="7" s="1"/>
  <c r="AE30" i="7" s="1"/>
  <c r="AG30" i="7" s="1"/>
  <c r="AA29" i="7"/>
  <c r="W29" i="7"/>
  <c r="E29" i="7"/>
  <c r="S29" i="7" s="1"/>
  <c r="E28" i="7"/>
  <c r="Y28" i="7" s="1"/>
  <c r="E27" i="7"/>
  <c r="G27" i="7" s="1"/>
  <c r="I27" i="7" s="1"/>
  <c r="K27" i="7" s="1"/>
  <c r="M27" i="7" s="1"/>
  <c r="O27" i="7" s="1"/>
  <c r="Q27" i="7" s="1"/>
  <c r="S27" i="7" s="1"/>
  <c r="U27" i="7" s="1"/>
  <c r="W27" i="7" s="1"/>
  <c r="Y27" i="7" s="1"/>
  <c r="AA27" i="7" s="1"/>
  <c r="AC27" i="7" s="1"/>
  <c r="AE27" i="7" s="1"/>
  <c r="AG27" i="7" s="1"/>
  <c r="E26" i="7"/>
  <c r="G26" i="7" s="1"/>
  <c r="I26" i="7" s="1"/>
  <c r="K26" i="7" s="1"/>
  <c r="M26" i="7" s="1"/>
  <c r="O26" i="7" s="1"/>
  <c r="Q26" i="7" s="1"/>
  <c r="S26" i="7" s="1"/>
  <c r="U26" i="7" s="1"/>
  <c r="W26" i="7" s="1"/>
  <c r="Y26" i="7" s="1"/>
  <c r="AA26" i="7" s="1"/>
  <c r="AC26" i="7" s="1"/>
  <c r="AE26" i="7" s="1"/>
  <c r="AG26" i="7" s="1"/>
  <c r="G24" i="7"/>
  <c r="I24" i="7" s="1"/>
  <c r="K24" i="7" s="1"/>
  <c r="M24" i="7" s="1"/>
  <c r="O24" i="7" s="1"/>
  <c r="Q24" i="7" s="1"/>
  <c r="S24" i="7" s="1"/>
  <c r="U24" i="7" s="1"/>
  <c r="W24" i="7" s="1"/>
  <c r="Y24" i="7" s="1"/>
  <c r="AA24" i="7" s="1"/>
  <c r="AC24" i="7" s="1"/>
  <c r="AE24" i="7" s="1"/>
  <c r="AG24" i="7" s="1"/>
  <c r="I21" i="7"/>
  <c r="K21" i="7" s="1"/>
  <c r="M21" i="7" s="1"/>
  <c r="O21" i="7" s="1"/>
  <c r="Q21" i="7" s="1"/>
  <c r="S21" i="7" s="1"/>
  <c r="U21" i="7" s="1"/>
  <c r="W21" i="7" s="1"/>
  <c r="Y21" i="7" s="1"/>
  <c r="AA21" i="7" s="1"/>
  <c r="AC21" i="7" s="1"/>
  <c r="AE21" i="7" s="1"/>
  <c r="AG21" i="7" s="1"/>
  <c r="G21" i="7"/>
  <c r="E21" i="7"/>
  <c r="G20" i="7"/>
  <c r="I20" i="7" s="1"/>
  <c r="K20" i="7" s="1"/>
  <c r="M20" i="7" s="1"/>
  <c r="O20" i="7" s="1"/>
  <c r="Q20" i="7" s="1"/>
  <c r="S20" i="7" s="1"/>
  <c r="U20" i="7" s="1"/>
  <c r="W20" i="7" s="1"/>
  <c r="Y20" i="7" s="1"/>
  <c r="AA20" i="7" s="1"/>
  <c r="AC20" i="7" s="1"/>
  <c r="AE20" i="7" s="1"/>
  <c r="AG20" i="7" s="1"/>
  <c r="E20" i="7"/>
  <c r="E19" i="7"/>
  <c r="G19" i="7" s="1"/>
  <c r="I19" i="7" s="1"/>
  <c r="K19" i="7" s="1"/>
  <c r="M19" i="7" s="1"/>
  <c r="O19" i="7" s="1"/>
  <c r="Q19" i="7" s="1"/>
  <c r="S19" i="7" s="1"/>
  <c r="U19" i="7" s="1"/>
  <c r="W19" i="7" s="1"/>
  <c r="Y19" i="7" s="1"/>
  <c r="AA19" i="7" s="1"/>
  <c r="AC19" i="7" s="1"/>
  <c r="AE19" i="7" s="1"/>
  <c r="AG19" i="7" s="1"/>
  <c r="G18" i="7"/>
  <c r="I18" i="7" s="1"/>
  <c r="K18" i="7" s="1"/>
  <c r="M18" i="7" s="1"/>
  <c r="O18" i="7" s="1"/>
  <c r="Q18" i="7" s="1"/>
  <c r="S18" i="7" s="1"/>
  <c r="U18" i="7" s="1"/>
  <c r="W18" i="7" s="1"/>
  <c r="Y18" i="7" s="1"/>
  <c r="AA18" i="7" s="1"/>
  <c r="AC18" i="7" s="1"/>
  <c r="AE18" i="7" s="1"/>
  <c r="AG18" i="7" s="1"/>
  <c r="E18" i="7"/>
  <c r="I17" i="7"/>
  <c r="K17" i="7" s="1"/>
  <c r="M17" i="7" s="1"/>
  <c r="O17" i="7" s="1"/>
  <c r="Q17" i="7" s="1"/>
  <c r="S17" i="7" s="1"/>
  <c r="U17" i="7" s="1"/>
  <c r="W17" i="7" s="1"/>
  <c r="Y17" i="7" s="1"/>
  <c r="AA17" i="7" s="1"/>
  <c r="AC17" i="7" s="1"/>
  <c r="AE17" i="7" s="1"/>
  <c r="AG17" i="7" s="1"/>
  <c r="G17" i="7"/>
  <c r="E17" i="7"/>
  <c r="G16" i="7"/>
  <c r="I16" i="7" s="1"/>
  <c r="K16" i="7" s="1"/>
  <c r="M16" i="7" s="1"/>
  <c r="O16" i="7" s="1"/>
  <c r="Q16" i="7" s="1"/>
  <c r="S16" i="7" s="1"/>
  <c r="U16" i="7" s="1"/>
  <c r="W16" i="7" s="1"/>
  <c r="Y16" i="7" s="1"/>
  <c r="AA16" i="7" s="1"/>
  <c r="AC16" i="7" s="1"/>
  <c r="AE16" i="7" s="1"/>
  <c r="AG16" i="7" s="1"/>
  <c r="E16" i="7"/>
  <c r="E15" i="7"/>
  <c r="G15" i="7" s="1"/>
  <c r="C9" i="7"/>
  <c r="E8" i="7"/>
  <c r="E9" i="7" s="1"/>
  <c r="C7" i="7"/>
  <c r="E7" i="7" s="1"/>
  <c r="G6" i="7"/>
  <c r="G7" i="7" s="1"/>
  <c r="E6" i="7"/>
  <c r="C5" i="7"/>
  <c r="E4" i="7"/>
  <c r="E5" i="7" s="1"/>
  <c r="D40" i="8"/>
  <c r="J38" i="8"/>
  <c r="I38" i="8"/>
  <c r="D38" i="8"/>
  <c r="B38" i="8"/>
  <c r="G38" i="8" s="1"/>
  <c r="A38" i="8"/>
  <c r="J37" i="8"/>
  <c r="I37" i="8"/>
  <c r="G37" i="8"/>
  <c r="D37" i="8"/>
  <c r="B37" i="8"/>
  <c r="A37" i="8"/>
  <c r="J36" i="8"/>
  <c r="I36" i="8"/>
  <c r="D36" i="8"/>
  <c r="B36" i="8"/>
  <c r="G36" i="8" s="1"/>
  <c r="A36" i="8"/>
  <c r="J35" i="8"/>
  <c r="I35" i="8"/>
  <c r="G35" i="8"/>
  <c r="D35" i="8"/>
  <c r="B35" i="8"/>
  <c r="A35" i="8"/>
  <c r="J34" i="8"/>
  <c r="I34" i="8"/>
  <c r="D34" i="8"/>
  <c r="B34" i="8"/>
  <c r="G34" i="8" s="1"/>
  <c r="A34" i="8"/>
  <c r="J33" i="8"/>
  <c r="I33" i="8"/>
  <c r="G33" i="8"/>
  <c r="D33" i="8"/>
  <c r="B33" i="8"/>
  <c r="A33" i="8"/>
  <c r="J32" i="8"/>
  <c r="I32" i="8"/>
  <c r="D32" i="8"/>
  <c r="B32" i="8"/>
  <c r="G32" i="8" s="1"/>
  <c r="A32" i="8"/>
  <c r="J31" i="8"/>
  <c r="I31" i="8"/>
  <c r="G31" i="8"/>
  <c r="D31" i="8"/>
  <c r="B31" i="8"/>
  <c r="A31" i="8"/>
  <c r="J30" i="8"/>
  <c r="I30" i="8"/>
  <c r="D30" i="8"/>
  <c r="B30" i="8"/>
  <c r="G30" i="8" s="1"/>
  <c r="A30" i="8"/>
  <c r="J29" i="8"/>
  <c r="I29" i="8"/>
  <c r="G29" i="8"/>
  <c r="D29" i="8"/>
  <c r="B29" i="8"/>
  <c r="A29" i="8"/>
  <c r="J28" i="8"/>
  <c r="I28" i="8"/>
  <c r="D28" i="8"/>
  <c r="B28" i="8"/>
  <c r="G28" i="8" s="1"/>
  <c r="A28" i="8"/>
  <c r="J27" i="8"/>
  <c r="I27" i="8"/>
  <c r="G27" i="8"/>
  <c r="D27" i="8"/>
  <c r="B27" i="8"/>
  <c r="A27" i="8"/>
  <c r="J26" i="8"/>
  <c r="I26" i="8"/>
  <c r="D26" i="8"/>
  <c r="B26" i="8"/>
  <c r="G26" i="8" s="1"/>
  <c r="A26" i="8"/>
  <c r="J25" i="8"/>
  <c r="I25" i="8"/>
  <c r="G25" i="8"/>
  <c r="D25" i="8"/>
  <c r="B25" i="8"/>
  <c r="A25" i="8"/>
  <c r="J24" i="8"/>
  <c r="I24" i="8"/>
  <c r="D24" i="8"/>
  <c r="B24" i="8"/>
  <c r="G24" i="8" s="1"/>
  <c r="A24" i="8"/>
  <c r="J23" i="8"/>
  <c r="I23" i="8"/>
  <c r="G23" i="8"/>
  <c r="D23" i="8"/>
  <c r="B23" i="8"/>
  <c r="A23" i="8"/>
  <c r="J22" i="8"/>
  <c r="I22" i="8"/>
  <c r="D22" i="8"/>
  <c r="B22" i="8"/>
  <c r="G22" i="8" s="1"/>
  <c r="A22" i="8"/>
  <c r="J21" i="8"/>
  <c r="I21" i="8"/>
  <c r="G21" i="8"/>
  <c r="D21" i="8"/>
  <c r="B21" i="8"/>
  <c r="A21" i="8"/>
  <c r="J20" i="8"/>
  <c r="I20" i="8"/>
  <c r="D20" i="8"/>
  <c r="B20" i="8"/>
  <c r="G20" i="8" s="1"/>
  <c r="A20" i="8"/>
  <c r="J19" i="8"/>
  <c r="I19" i="8"/>
  <c r="G19" i="8"/>
  <c r="D19" i="8"/>
  <c r="B19" i="8"/>
  <c r="A19" i="8"/>
  <c r="J18" i="8"/>
  <c r="I18" i="8"/>
  <c r="D18" i="8"/>
  <c r="B18" i="8"/>
  <c r="G18" i="8" s="1"/>
  <c r="A18" i="8"/>
  <c r="J17" i="8"/>
  <c r="I17" i="8"/>
  <c r="G17" i="8"/>
  <c r="D17" i="8"/>
  <c r="B17" i="8"/>
  <c r="A17" i="8"/>
  <c r="J16" i="8"/>
  <c r="I16" i="8"/>
  <c r="D16" i="8"/>
  <c r="B16" i="8"/>
  <c r="G16" i="8" s="1"/>
  <c r="A16" i="8"/>
  <c r="J15" i="8"/>
  <c r="I15" i="8"/>
  <c r="G15" i="8"/>
  <c r="D15" i="8"/>
  <c r="B15" i="8"/>
  <c r="A15" i="8"/>
  <c r="J14" i="8"/>
  <c r="I14" i="8"/>
  <c r="D14" i="8"/>
  <c r="B14" i="8"/>
  <c r="G14" i="8" s="1"/>
  <c r="A14" i="8"/>
  <c r="J13" i="8"/>
  <c r="I13" i="8"/>
  <c r="G13" i="8"/>
  <c r="D13" i="8"/>
  <c r="B13" i="8"/>
  <c r="A13" i="8"/>
  <c r="J12" i="8"/>
  <c r="I12" i="8"/>
  <c r="D12" i="8"/>
  <c r="B12" i="8"/>
  <c r="G12" i="8" s="1"/>
  <c r="A12" i="8"/>
  <c r="J11" i="8"/>
  <c r="I11" i="8"/>
  <c r="G11" i="8"/>
  <c r="D11" i="8"/>
  <c r="B11" i="8"/>
  <c r="A11" i="8"/>
  <c r="J10" i="8"/>
  <c r="I10" i="8"/>
  <c r="D10" i="8"/>
  <c r="B10" i="8"/>
  <c r="G10" i="8" s="1"/>
  <c r="A10" i="8"/>
  <c r="J9" i="8"/>
  <c r="I9" i="8"/>
  <c r="G9" i="8"/>
  <c r="D9" i="8"/>
  <c r="B9" i="8"/>
  <c r="A9" i="8"/>
  <c r="J8" i="8"/>
  <c r="I8" i="8"/>
  <c r="D8" i="8"/>
  <c r="B8" i="8"/>
  <c r="G8" i="8" s="1"/>
  <c r="A8" i="8"/>
  <c r="J7" i="8"/>
  <c r="I7" i="8"/>
  <c r="G7" i="8"/>
  <c r="D7" i="8"/>
  <c r="B7" i="8"/>
  <c r="A7" i="8"/>
  <c r="J6" i="8"/>
  <c r="I6" i="8"/>
  <c r="D6" i="8"/>
  <c r="B6" i="8"/>
  <c r="G6" i="8" s="1"/>
  <c r="A6" i="8"/>
  <c r="J5" i="8"/>
  <c r="I5" i="8"/>
  <c r="G5" i="8"/>
  <c r="D5" i="8"/>
  <c r="B5" i="8"/>
  <c r="A5" i="8"/>
  <c r="J4" i="8"/>
  <c r="J40" i="8" s="1"/>
  <c r="I4" i="8"/>
  <c r="D4" i="8"/>
  <c r="B4" i="8"/>
  <c r="G4" i="8" s="1"/>
  <c r="G40" i="8" s="1"/>
  <c r="A4" i="8"/>
  <c r="G154" i="21"/>
  <c r="G155" i="21" s="1"/>
  <c r="I16" i="21" s="1"/>
  <c r="G153" i="21"/>
  <c r="G151" i="21"/>
  <c r="E153" i="21" s="1"/>
  <c r="G123" i="21"/>
  <c r="G108" i="21"/>
  <c r="B106" i="21"/>
  <c r="E102" i="21"/>
  <c r="G100" i="21"/>
  <c r="B96" i="21"/>
  <c r="L94" i="21"/>
  <c r="L93" i="21"/>
  <c r="E93" i="21"/>
  <c r="L92" i="21"/>
  <c r="L91" i="21"/>
  <c r="L90" i="21"/>
  <c r="G90" i="21"/>
  <c r="L89" i="21"/>
  <c r="L88" i="21"/>
  <c r="L87" i="21"/>
  <c r="G113" i="21" s="1"/>
  <c r="G86" i="21"/>
  <c r="G92" i="21" s="1"/>
  <c r="G84" i="21"/>
  <c r="B81" i="21"/>
  <c r="G75" i="21"/>
  <c r="G72" i="21"/>
  <c r="G68" i="21"/>
  <c r="G77" i="21" s="1"/>
  <c r="G79" i="21" s="1"/>
  <c r="G67" i="21"/>
  <c r="B58" i="21"/>
  <c r="T54" i="21"/>
  <c r="R54" i="21" a="1"/>
  <c r="R54" i="21" s="1"/>
  <c r="O54" i="21"/>
  <c r="N54" i="21"/>
  <c r="M54" i="21"/>
  <c r="U54" i="21" s="1"/>
  <c r="L54" i="21"/>
  <c r="T53" i="21"/>
  <c r="R53" i="21" a="1"/>
  <c r="R53" i="21" s="1"/>
  <c r="O53" i="21"/>
  <c r="N53" i="21"/>
  <c r="M53" i="21"/>
  <c r="U53" i="21" s="1"/>
  <c r="L53" i="21"/>
  <c r="N52" i="21"/>
  <c r="M52" i="21"/>
  <c r="U52" i="21" s="1"/>
  <c r="L52" i="21"/>
  <c r="N51" i="21"/>
  <c r="M51" i="21"/>
  <c r="U51" i="21" s="1"/>
  <c r="L51" i="21"/>
  <c r="N50" i="21"/>
  <c r="M50" i="21"/>
  <c r="U50" i="21" s="1"/>
  <c r="L50" i="21"/>
  <c r="U49" i="21"/>
  <c r="P49" i="21" a="1"/>
  <c r="P49" i="21" s="1"/>
  <c r="O49" i="21"/>
  <c r="N49" i="21"/>
  <c r="M49" i="21"/>
  <c r="T49" i="21" s="1"/>
  <c r="L49" i="21"/>
  <c r="B49" i="21"/>
  <c r="U48" i="21"/>
  <c r="P48" i="21" a="1"/>
  <c r="P48" i="21" s="1"/>
  <c r="O48" i="21"/>
  <c r="N48" i="21"/>
  <c r="M48" i="21"/>
  <c r="T48" i="21" s="1"/>
  <c r="L48" i="21"/>
  <c r="U47" i="21"/>
  <c r="T47" i="21"/>
  <c r="R47" i="21" a="1"/>
  <c r="R47" i="21" s="1"/>
  <c r="P47" i="21" a="1"/>
  <c r="P47" i="21" s="1"/>
  <c r="O47" i="21"/>
  <c r="N47" i="21"/>
  <c r="M47" i="21"/>
  <c r="S47" i="21" s="1"/>
  <c r="L47" i="21"/>
  <c r="U46" i="21"/>
  <c r="T46" i="21"/>
  <c r="R46" i="21" a="1"/>
  <c r="R46" i="21" s="1"/>
  <c r="P46" i="21" a="1"/>
  <c r="P46" i="21" s="1"/>
  <c r="O46" i="21"/>
  <c r="N46" i="21"/>
  <c r="M46" i="21"/>
  <c r="S46" i="21" s="1"/>
  <c r="L46" i="21"/>
  <c r="G46" i="21"/>
  <c r="U45" i="21"/>
  <c r="T45" i="21"/>
  <c r="R45" i="21" a="1"/>
  <c r="R45" i="21" s="1"/>
  <c r="P45" i="21" a="1"/>
  <c r="P45" i="21" s="1"/>
  <c r="O45" i="21"/>
  <c r="N45" i="21"/>
  <c r="M45" i="21"/>
  <c r="S45" i="21" s="1"/>
  <c r="L45" i="21"/>
  <c r="U44" i="21"/>
  <c r="T44" i="21"/>
  <c r="R44" i="21" a="1"/>
  <c r="R44" i="21" s="1"/>
  <c r="P44" i="21" a="1"/>
  <c r="P44" i="21" s="1"/>
  <c r="O44" i="21"/>
  <c r="N44" i="21"/>
  <c r="M44" i="21"/>
  <c r="S44" i="21" s="1"/>
  <c r="L44" i="21"/>
  <c r="U43" i="21"/>
  <c r="T43" i="21"/>
  <c r="S43" i="21"/>
  <c r="N43" i="21"/>
  <c r="M43" i="21"/>
  <c r="R43" i="21" s="1" a="1"/>
  <c r="R43" i="21" s="1"/>
  <c r="L43" i="21"/>
  <c r="U42" i="21"/>
  <c r="T42" i="21"/>
  <c r="S42" i="21"/>
  <c r="N42" i="21"/>
  <c r="M42" i="21"/>
  <c r="R42" i="21" s="1" a="1"/>
  <c r="R42" i="21" s="1"/>
  <c r="L42" i="21"/>
  <c r="U41" i="21"/>
  <c r="T41" i="21"/>
  <c r="R41" i="21" a="1"/>
  <c r="R41" i="21" s="1"/>
  <c r="P41" i="21" a="1"/>
  <c r="P41" i="21" s="1"/>
  <c r="O41" i="21"/>
  <c r="N41" i="21"/>
  <c r="M41" i="21"/>
  <c r="S41" i="21" s="1"/>
  <c r="L41" i="21"/>
  <c r="U40" i="21"/>
  <c r="T40" i="21"/>
  <c r="S40" i="21"/>
  <c r="N40" i="21"/>
  <c r="M40" i="21"/>
  <c r="R40" i="21" s="1" a="1"/>
  <c r="R40" i="21" s="1"/>
  <c r="L40" i="21"/>
  <c r="T39" i="21"/>
  <c r="N39" i="21"/>
  <c r="M39" i="21"/>
  <c r="S39" i="21" s="1"/>
  <c r="L39" i="21"/>
  <c r="T38" i="21"/>
  <c r="N38" i="21"/>
  <c r="M38" i="21"/>
  <c r="S38" i="21" s="1"/>
  <c r="L38" i="21"/>
  <c r="U37" i="21"/>
  <c r="T37" i="21"/>
  <c r="S37" i="21"/>
  <c r="R37" i="21" a="1"/>
  <c r="R37" i="21" s="1"/>
  <c r="O37" i="21"/>
  <c r="N37" i="21"/>
  <c r="M37" i="21"/>
  <c r="P37" i="21" s="1" a="1"/>
  <c r="P37" i="21" s="1"/>
  <c r="L37" i="21"/>
  <c r="G37" i="21"/>
  <c r="G159" i="21" s="1"/>
  <c r="I17" i="21" s="1"/>
  <c r="U36" i="21"/>
  <c r="T36" i="21"/>
  <c r="S36" i="21"/>
  <c r="R36" i="21" a="1"/>
  <c r="R36" i="21" s="1"/>
  <c r="O36" i="21"/>
  <c r="N36" i="21"/>
  <c r="M36" i="21"/>
  <c r="P36" i="21" s="1" a="1"/>
  <c r="P36" i="21" s="1"/>
  <c r="L36" i="21"/>
  <c r="U35" i="21"/>
  <c r="T35" i="21"/>
  <c r="S35" i="21"/>
  <c r="R35" i="21"/>
  <c r="R35" i="21" a="1"/>
  <c r="N35" i="21"/>
  <c r="M35" i="21"/>
  <c r="P35" i="21" s="1" a="1"/>
  <c r="P35" i="21" s="1"/>
  <c r="L35" i="21"/>
  <c r="B35" i="21"/>
  <c r="U34" i="21"/>
  <c r="T34" i="21"/>
  <c r="S34" i="21"/>
  <c r="R34" i="21"/>
  <c r="R34" i="21" a="1"/>
  <c r="N34" i="21"/>
  <c r="M34" i="21"/>
  <c r="P34" i="21" s="1" a="1"/>
  <c r="P34" i="21" s="1"/>
  <c r="L34" i="21"/>
  <c r="U33" i="21"/>
  <c r="T33" i="21"/>
  <c r="R33" i="21" a="1"/>
  <c r="R33" i="21" s="1"/>
  <c r="P33" i="21" a="1"/>
  <c r="P33" i="21" s="1"/>
  <c r="N33" i="21"/>
  <c r="M33" i="21"/>
  <c r="O33" i="21" s="1"/>
  <c r="L33" i="21"/>
  <c r="U32" i="21"/>
  <c r="T32" i="21"/>
  <c r="R32" i="21" a="1"/>
  <c r="R32" i="21" s="1"/>
  <c r="P32" i="21" a="1"/>
  <c r="P32" i="21" s="1"/>
  <c r="N32" i="21"/>
  <c r="M32" i="21"/>
  <c r="O32" i="21" s="1"/>
  <c r="L32" i="21"/>
  <c r="U31" i="21"/>
  <c r="T31" i="21"/>
  <c r="S31" i="21"/>
  <c r="R31" i="21" a="1"/>
  <c r="R31" i="21" s="1"/>
  <c r="P31" i="21" a="1"/>
  <c r="P31" i="21" s="1"/>
  <c r="O31" i="21"/>
  <c r="N31" i="21"/>
  <c r="M31" i="21"/>
  <c r="L31" i="21"/>
  <c r="U30" i="21"/>
  <c r="T30" i="21"/>
  <c r="S30" i="21"/>
  <c r="R30" i="21" a="1"/>
  <c r="R30" i="21" s="1"/>
  <c r="P30" i="21"/>
  <c r="P30" i="21" a="1"/>
  <c r="O30" i="21"/>
  <c r="N30" i="21"/>
  <c r="M30" i="21"/>
  <c r="L30" i="21"/>
  <c r="U29" i="21"/>
  <c r="T29" i="21"/>
  <c r="S29" i="21"/>
  <c r="R29" i="21"/>
  <c r="R29" i="21" a="1"/>
  <c r="P29" i="21" a="1"/>
  <c r="P29" i="21" s="1"/>
  <c r="O29" i="21"/>
  <c r="N29" i="21"/>
  <c r="M29" i="21"/>
  <c r="L29" i="21"/>
  <c r="U28" i="21"/>
  <c r="R28" i="21" a="1"/>
  <c r="R28" i="21" s="1"/>
  <c r="N28" i="21"/>
  <c r="M28" i="21"/>
  <c r="L28" i="21"/>
  <c r="D28" i="21"/>
  <c r="T27" i="21"/>
  <c r="N27" i="21"/>
  <c r="M27" i="21"/>
  <c r="L27" i="21"/>
  <c r="D27" i="21"/>
  <c r="U26" i="21"/>
  <c r="N26" i="21"/>
  <c r="M26" i="21"/>
  <c r="T26" i="21" s="1"/>
  <c r="L26" i="21"/>
  <c r="E27" i="21" s="1"/>
  <c r="T25" i="21"/>
  <c r="N25" i="21"/>
  <c r="M25" i="21"/>
  <c r="U25" i="21" s="1"/>
  <c r="L25" i="21"/>
  <c r="R25" i="21" s="1" a="1"/>
  <c r="R25" i="21" s="1"/>
  <c r="U24" i="21"/>
  <c r="T24" i="21"/>
  <c r="R24" i="21"/>
  <c r="R24" i="21" a="1"/>
  <c r="N24" i="21"/>
  <c r="M24" i="21"/>
  <c r="L24" i="21"/>
  <c r="U23" i="21"/>
  <c r="R23" i="21" a="1"/>
  <c r="R23" i="21" s="1"/>
  <c r="N23" i="21"/>
  <c r="M23" i="21"/>
  <c r="L23" i="21"/>
  <c r="U22" i="21"/>
  <c r="T22" i="21"/>
  <c r="N22" i="21"/>
  <c r="M22" i="21"/>
  <c r="L22" i="21"/>
  <c r="U21" i="21"/>
  <c r="T21" i="21"/>
  <c r="R21" i="21"/>
  <c r="R21" i="21" a="1"/>
  <c r="N21" i="21"/>
  <c r="M21" i="21"/>
  <c r="L21" i="21"/>
  <c r="N20" i="21"/>
  <c r="G51" i="21" s="1"/>
  <c r="M20" i="21"/>
  <c r="U20" i="21" s="1"/>
  <c r="L20" i="21"/>
  <c r="E26" i="21" s="1"/>
  <c r="B20" i="21"/>
  <c r="P18" i="21"/>
  <c r="I15" i="21"/>
  <c r="I14" i="21"/>
  <c r="I10" i="21"/>
  <c r="I9" i="21"/>
  <c r="G166" i="21" s="1"/>
  <c r="AF842" i="20"/>
  <c r="A841" i="20"/>
  <c r="A840" i="20"/>
  <c r="A839" i="20"/>
  <c r="B837" i="20"/>
  <c r="A837" i="20"/>
  <c r="B836" i="20"/>
  <c r="A836" i="20"/>
  <c r="T832" i="20"/>
  <c r="B826" i="20"/>
  <c r="AJ814" i="20"/>
  <c r="AJ805" i="20"/>
  <c r="AJ794" i="20"/>
  <c r="AJ778" i="20"/>
  <c r="AJ766" i="20"/>
  <c r="AJ750" i="20"/>
  <c r="AJ738" i="20"/>
  <c r="AJ724" i="20"/>
  <c r="AX706" i="20"/>
  <c r="AX705" i="20"/>
  <c r="AX704" i="20"/>
  <c r="AX707" i="20" s="1"/>
  <c r="AX703" i="20"/>
  <c r="AX702" i="20"/>
  <c r="AJ700" i="20"/>
  <c r="AJ665" i="20"/>
  <c r="AJ653" i="20"/>
  <c r="AJ634" i="20"/>
  <c r="AK816" i="20" s="1"/>
  <c r="T841" i="20" s="1"/>
  <c r="AF841" i="20" s="1"/>
  <c r="Y620" i="20"/>
  <c r="AO610" i="20"/>
  <c r="AP596" i="20"/>
  <c r="AP595" i="20"/>
  <c r="AP600" i="20" s="1"/>
  <c r="AP570" i="20"/>
  <c r="AP569" i="20" s="1"/>
  <c r="AP572" i="20" s="1"/>
  <c r="AF565" i="20" s="1"/>
  <c r="AF566" i="20" s="1"/>
  <c r="AK572" i="20" s="1"/>
  <c r="T840" i="20" s="1"/>
  <c r="AF840" i="20" s="1"/>
  <c r="AP567" i="20"/>
  <c r="AP566" i="20"/>
  <c r="AP565" i="20"/>
  <c r="AF564" i="20"/>
  <c r="AP563" i="20"/>
  <c r="AG536" i="20"/>
  <c r="AG532" i="20"/>
  <c r="AG528" i="20"/>
  <c r="AG525" i="20"/>
  <c r="AG521" i="20"/>
  <c r="AG516" i="20"/>
  <c r="AG511" i="20"/>
  <c r="AG509" i="20"/>
  <c r="AG505" i="20"/>
  <c r="AG500" i="20"/>
  <c r="AG498" i="20"/>
  <c r="AG493" i="20"/>
  <c r="AK548" i="20" s="1"/>
  <c r="T835" i="20" s="1"/>
  <c r="U387" i="20"/>
  <c r="U386" i="20" s="1"/>
  <c r="AP386" i="20"/>
  <c r="AP385" i="20"/>
  <c r="AP384" i="20"/>
  <c r="AP383" i="20"/>
  <c r="AP388" i="20" s="1"/>
  <c r="AQ388" i="20" s="1"/>
  <c r="AP382" i="20"/>
  <c r="AP381" i="20"/>
  <c r="AP378" i="20"/>
  <c r="AP377" i="20"/>
  <c r="AP376" i="20"/>
  <c r="AP375" i="20"/>
  <c r="AP374" i="20"/>
  <c r="AP373" i="20"/>
  <c r="AP372" i="20"/>
  <c r="AP371" i="20"/>
  <c r="AP370" i="20"/>
  <c r="AP379" i="20" s="1"/>
  <c r="AQ379" i="20" s="1"/>
  <c r="AP307" i="20"/>
  <c r="AP306" i="20"/>
  <c r="AP308" i="20" s="1"/>
  <c r="AK351" i="20" s="1"/>
  <c r="AK298" i="20"/>
  <c r="T836" i="20" s="1"/>
  <c r="AF836" i="20" s="1"/>
  <c r="BE78" i="3" s="1"/>
  <c r="AG268" i="20"/>
  <c r="AB265" i="20"/>
  <c r="AB244" i="20"/>
  <c r="AB246" i="20" s="1"/>
  <c r="AB232" i="20"/>
  <c r="AB231" i="20"/>
  <c r="AB230" i="20"/>
  <c r="AB229" i="20"/>
  <c r="AB228" i="20"/>
  <c r="AB227" i="20"/>
  <c r="AB226" i="20"/>
  <c r="AB225" i="20"/>
  <c r="AB224" i="20"/>
  <c r="AB223" i="20"/>
  <c r="AB233" i="20" s="1"/>
  <c r="AD209" i="20"/>
  <c r="AK182" i="20"/>
  <c r="AJ179" i="20"/>
  <c r="C177" i="20"/>
  <c r="AJ165" i="20"/>
  <c r="T831" i="20" s="1"/>
  <c r="T830" i="20" s="1"/>
  <c r="AF830" i="20" s="1"/>
  <c r="BE75" i="3" s="1"/>
  <c r="AQ135" i="20"/>
  <c r="AO135" i="20"/>
  <c r="AQ134" i="20"/>
  <c r="AO134" i="20"/>
  <c r="AQ133" i="20"/>
  <c r="AO133" i="20"/>
  <c r="AQ132" i="20"/>
  <c r="AO132" i="20"/>
  <c r="AQ131" i="20"/>
  <c r="AO131" i="20"/>
  <c r="AQ130" i="20"/>
  <c r="AO130" i="20"/>
  <c r="AQ129" i="20"/>
  <c r="AO129" i="20"/>
  <c r="AD129" i="20"/>
  <c r="AD132" i="20" s="1"/>
  <c r="Y129" i="20"/>
  <c r="Y132" i="20" s="1"/>
  <c r="T129" i="20"/>
  <c r="T132" i="20" s="1"/>
  <c r="O129" i="20"/>
  <c r="O132" i="20" s="1"/>
  <c r="J129" i="20"/>
  <c r="J132" i="20" s="1"/>
  <c r="E129" i="20"/>
  <c r="E132" i="20" s="1"/>
  <c r="AQ128" i="20"/>
  <c r="AO128" i="20"/>
  <c r="AQ127" i="20"/>
  <c r="AO127" i="20"/>
  <c r="AQ126" i="20"/>
  <c r="AO126" i="20"/>
  <c r="AQ125" i="20"/>
  <c r="AO125" i="20"/>
  <c r="AQ124" i="20"/>
  <c r="AO124" i="20"/>
  <c r="AQ123" i="20"/>
  <c r="AO123" i="20"/>
  <c r="AQ122" i="20"/>
  <c r="AO122" i="20"/>
  <c r="AQ121" i="20"/>
  <c r="AO121" i="20"/>
  <c r="AV120" i="20"/>
  <c r="AV120" i="20" a="1"/>
  <c r="AU120" i="20"/>
  <c r="AQ120" i="20"/>
  <c r="AO120" i="20"/>
  <c r="AV119" i="20" a="1"/>
  <c r="AV119" i="20" s="1"/>
  <c r="AU119" i="20"/>
  <c r="AQ119" i="20"/>
  <c r="AO119" i="20"/>
  <c r="AV118" i="20"/>
  <c r="AV118" i="20" a="1"/>
  <c r="AU118" i="20"/>
  <c r="AQ118" i="20"/>
  <c r="AO118" i="20"/>
  <c r="AV117" i="20" a="1"/>
  <c r="AV117" i="20" s="1"/>
  <c r="AU117" i="20"/>
  <c r="AQ117" i="20"/>
  <c r="AO117" i="20"/>
  <c r="AV116" i="20"/>
  <c r="AV116" i="20" a="1"/>
  <c r="AU116" i="20"/>
  <c r="AQ116" i="20"/>
  <c r="AO116" i="20"/>
  <c r="AV115" i="20" a="1"/>
  <c r="AV115" i="20" s="1"/>
  <c r="AU115" i="20"/>
  <c r="AQ115" i="20"/>
  <c r="AO115" i="20"/>
  <c r="AQ114" i="20"/>
  <c r="AO114" i="20"/>
  <c r="AQ113" i="20"/>
  <c r="AO113" i="20"/>
  <c r="AQ112" i="20"/>
  <c r="AO112" i="20"/>
  <c r="AQ111" i="20"/>
  <c r="AO111" i="20"/>
  <c r="E104" i="20"/>
  <c r="E103" i="20"/>
  <c r="E102" i="20"/>
  <c r="AP94" i="20"/>
  <c r="E92" i="20"/>
  <c r="E93" i="20" s="1"/>
  <c r="E94" i="20" s="1"/>
  <c r="AO70" i="20"/>
  <c r="AO69" i="20"/>
  <c r="AO68" i="20"/>
  <c r="AO67" i="20"/>
  <c r="AO71" i="20" s="1"/>
  <c r="AO57" i="20"/>
  <c r="AO56" i="20"/>
  <c r="AO55" i="20"/>
  <c r="AO46" i="20"/>
  <c r="AO45" i="20"/>
  <c r="AO44" i="20"/>
  <c r="AO43" i="20"/>
  <c r="AO47" i="20" s="1"/>
  <c r="AO33" i="20"/>
  <c r="AO32" i="20"/>
  <c r="AO31" i="20"/>
  <c r="AO30" i="20"/>
  <c r="AO34" i="20" s="1"/>
  <c r="AO60" i="20" s="1"/>
  <c r="AK61" i="20" s="1"/>
  <c r="AO26" i="20"/>
  <c r="AO21" i="20"/>
  <c r="AD67" i="15"/>
  <c r="Y67" i="15"/>
  <c r="AD64" i="15"/>
  <c r="A61" i="15"/>
  <c r="AB48" i="15"/>
  <c r="AB47" i="15"/>
  <c r="AB49" i="15" s="1"/>
  <c r="AI27" i="15"/>
  <c r="AD27" i="15"/>
  <c r="Y27" i="15"/>
  <c r="T27" i="15"/>
  <c r="T25" i="15"/>
  <c r="T7" i="15" s="1"/>
  <c r="T24" i="15"/>
  <c r="AI22" i="15"/>
  <c r="AD22" i="15"/>
  <c r="Y22" i="15"/>
  <c r="T22" i="15"/>
  <c r="AI20" i="15"/>
  <c r="AD20" i="15"/>
  <c r="Y20" i="15"/>
  <c r="T20" i="15"/>
  <c r="AD11" i="15"/>
  <c r="AD23" i="15" s="1"/>
  <c r="AD26" i="15" s="1"/>
  <c r="AD28" i="15" s="1"/>
  <c r="Y11" i="15"/>
  <c r="Y23" i="15" s="1"/>
  <c r="Y26" i="15" s="1"/>
  <c r="Y28" i="15" s="1"/>
  <c r="T11" i="15"/>
  <c r="T23" i="15" s="1"/>
  <c r="AI7" i="15"/>
  <c r="AD7" i="15"/>
  <c r="Y7" i="15"/>
  <c r="AI11" i="15" s="1"/>
  <c r="AI23" i="15" s="1"/>
  <c r="AI26" i="15" s="1"/>
  <c r="AI28" i="15" s="1"/>
  <c r="A3" i="15"/>
  <c r="AC211" i="24"/>
  <c r="Y211" i="24"/>
  <c r="U211" i="24"/>
  <c r="O198" i="24"/>
  <c r="AU187" i="24"/>
  <c r="N184" i="24"/>
  <c r="N183" i="24"/>
  <c r="N190" i="24" s="1"/>
  <c r="N180" i="24"/>
  <c r="O75" i="24"/>
  <c r="B64" i="24"/>
  <c r="B63" i="24"/>
  <c r="B62" i="24"/>
  <c r="B61" i="24"/>
  <c r="B60" i="24"/>
  <c r="Z57" i="24"/>
  <c r="R57" i="24"/>
  <c r="AS47" i="24"/>
  <c r="AS46" i="24"/>
  <c r="AS45" i="24"/>
  <c r="AS44" i="24"/>
  <c r="AS43" i="24"/>
  <c r="AS42" i="24"/>
  <c r="AS41" i="24"/>
  <c r="AS40" i="24"/>
  <c r="AS39" i="24"/>
  <c r="AS38" i="24"/>
  <c r="AS37" i="24"/>
  <c r="AS36" i="24"/>
  <c r="AN28" i="24"/>
  <c r="AH28" i="24"/>
  <c r="AB28" i="24"/>
  <c r="V28" i="24"/>
  <c r="P28" i="24"/>
  <c r="J28" i="24" s="1"/>
  <c r="AN24" i="24" a="1"/>
  <c r="AN24" i="24" s="1"/>
  <c r="AH24" i="24" a="1"/>
  <c r="AH24" i="24" s="1"/>
  <c r="AB24" i="24" a="1"/>
  <c r="AB24" i="24" s="1"/>
  <c r="V24" i="24" a="1"/>
  <c r="V24" i="24" s="1"/>
  <c r="P24" i="24" a="1"/>
  <c r="P24" i="24" s="1"/>
  <c r="AN23" i="24" a="1"/>
  <c r="AN23" i="24" s="1"/>
  <c r="AH23" i="24" a="1"/>
  <c r="AH23" i="24" s="1"/>
  <c r="AB23" i="24" a="1"/>
  <c r="AB23" i="24" s="1"/>
  <c r="V23" i="24" a="1"/>
  <c r="V23" i="24" s="1"/>
  <c r="P23" i="24" a="1"/>
  <c r="P23" i="24" s="1"/>
  <c r="J23" i="24" s="1"/>
  <c r="AN22" i="24" a="1"/>
  <c r="AN22" i="24" s="1"/>
  <c r="AH22" i="24" a="1"/>
  <c r="AH22" i="24" s="1"/>
  <c r="AB22" i="24" a="1"/>
  <c r="AB22" i="24" s="1"/>
  <c r="V22" i="24" a="1"/>
  <c r="V22" i="24" s="1"/>
  <c r="P22" i="24" a="1"/>
  <c r="P22" i="24" s="1"/>
  <c r="J22" i="24" s="1"/>
  <c r="AN21" i="24" a="1"/>
  <c r="AN21" i="24" s="1"/>
  <c r="AH21" i="24" a="1"/>
  <c r="AH21" i="24" s="1"/>
  <c r="AB21" i="24" a="1"/>
  <c r="AB21" i="24" s="1"/>
  <c r="V21" i="24" a="1"/>
  <c r="V21" i="24" s="1"/>
  <c r="P21" i="24" a="1"/>
  <c r="P21" i="24" s="1"/>
  <c r="AN20" i="24" a="1"/>
  <c r="AN20" i="24" s="1"/>
  <c r="AH20" i="24" a="1"/>
  <c r="AH20" i="24" s="1"/>
  <c r="AB20" i="24" a="1"/>
  <c r="AB20" i="24" s="1"/>
  <c r="V20" i="24" a="1"/>
  <c r="V20" i="24" s="1"/>
  <c r="P20" i="24" a="1"/>
  <c r="P20" i="24" s="1"/>
  <c r="AN19" i="24" a="1"/>
  <c r="AN19" i="24" s="1"/>
  <c r="AH19" i="24" a="1"/>
  <c r="AH19" i="24" s="1"/>
  <c r="AB19" i="24" a="1"/>
  <c r="AB19" i="24" s="1"/>
  <c r="V19" i="24" a="1"/>
  <c r="V19" i="24" s="1"/>
  <c r="P19" i="24" a="1"/>
  <c r="P19" i="24" s="1"/>
  <c r="S15" i="24"/>
  <c r="AO13" i="24"/>
  <c r="N11" i="24"/>
  <c r="N10" i="24"/>
  <c r="AB8" i="24"/>
  <c r="L6" i="24"/>
  <c r="L4" i="24"/>
  <c r="H107" i="13"/>
  <c r="E107" i="13"/>
  <c r="H106" i="13"/>
  <c r="E106" i="13"/>
  <c r="H105" i="13"/>
  <c r="E105" i="13"/>
  <c r="B105" i="13"/>
  <c r="J104" i="13"/>
  <c r="I104" i="13"/>
  <c r="H104" i="13"/>
  <c r="G104" i="13"/>
  <c r="E104" i="13"/>
  <c r="D104" i="13"/>
  <c r="B104" i="13"/>
  <c r="H103" i="13"/>
  <c r="E103" i="13"/>
  <c r="F103" i="13" s="1"/>
  <c r="B103" i="13"/>
  <c r="C103" i="13" s="1"/>
  <c r="A103" i="13"/>
  <c r="H102" i="13"/>
  <c r="E102" i="13"/>
  <c r="F102" i="13" s="1"/>
  <c r="C102" i="13"/>
  <c r="B102" i="13"/>
  <c r="H101" i="13"/>
  <c r="F101" i="13"/>
  <c r="E101" i="13"/>
  <c r="B101" i="13"/>
  <c r="C101" i="13" s="1"/>
  <c r="H100" i="13"/>
  <c r="E100" i="13"/>
  <c r="F100" i="13" s="1"/>
  <c r="B100" i="13"/>
  <c r="C100" i="13" s="1"/>
  <c r="H99" i="13"/>
  <c r="E99" i="13"/>
  <c r="F99" i="13" s="1"/>
  <c r="C99" i="13"/>
  <c r="C104" i="13" s="1"/>
  <c r="B99" i="13"/>
  <c r="H97" i="13"/>
  <c r="E97" i="13"/>
  <c r="B97" i="13"/>
  <c r="J96" i="13"/>
  <c r="I96" i="13"/>
  <c r="H96" i="13"/>
  <c r="G96" i="13"/>
  <c r="E96" i="13"/>
  <c r="D96" i="13"/>
  <c r="B96" i="13"/>
  <c r="H95" i="13"/>
  <c r="F95" i="13"/>
  <c r="E95" i="13"/>
  <c r="C95" i="13"/>
  <c r="B95" i="13"/>
  <c r="A95" i="13"/>
  <c r="H94" i="13"/>
  <c r="E94" i="13"/>
  <c r="F94" i="13" s="1"/>
  <c r="B94" i="13"/>
  <c r="C94" i="13" s="1"/>
  <c r="A94" i="13"/>
  <c r="H93" i="13"/>
  <c r="F93" i="13"/>
  <c r="E93" i="13"/>
  <c r="C93" i="13"/>
  <c r="B93" i="13"/>
  <c r="A93" i="13"/>
  <c r="H92" i="13"/>
  <c r="E92" i="13"/>
  <c r="F92" i="13" s="1"/>
  <c r="B92" i="13"/>
  <c r="C92" i="13" s="1"/>
  <c r="H91" i="13"/>
  <c r="F91" i="13"/>
  <c r="E91" i="13"/>
  <c r="B91" i="13"/>
  <c r="C91" i="13" s="1"/>
  <c r="H90" i="13"/>
  <c r="F90" i="13"/>
  <c r="E90" i="13"/>
  <c r="B90" i="13"/>
  <c r="C90" i="13" s="1"/>
  <c r="H89" i="13"/>
  <c r="E89" i="13"/>
  <c r="F89" i="13" s="1"/>
  <c r="C89" i="13"/>
  <c r="B89" i="13"/>
  <c r="B88" i="13"/>
  <c r="C88" i="13" s="1"/>
  <c r="H87" i="13"/>
  <c r="F87" i="13"/>
  <c r="E87" i="13"/>
  <c r="B87" i="13"/>
  <c r="C87" i="13" s="1"/>
  <c r="H86" i="13"/>
  <c r="E86" i="13"/>
  <c r="F86" i="13" s="1"/>
  <c r="C86" i="13"/>
  <c r="B86" i="13"/>
  <c r="H85" i="13"/>
  <c r="E85" i="13"/>
  <c r="F85" i="13" s="1"/>
  <c r="C85" i="13"/>
  <c r="B85" i="13"/>
  <c r="H84" i="13"/>
  <c r="E84" i="13"/>
  <c r="F84" i="13" s="1"/>
  <c r="B84" i="13"/>
  <c r="C84" i="13" s="1"/>
  <c r="C83" i="13"/>
  <c r="B83" i="13"/>
  <c r="J81" i="13"/>
  <c r="I81" i="13"/>
  <c r="H81" i="13"/>
  <c r="G81" i="13"/>
  <c r="E81" i="13"/>
  <c r="D81" i="13"/>
  <c r="B81" i="13"/>
  <c r="H80" i="13"/>
  <c r="F80" i="13"/>
  <c r="E80" i="13"/>
  <c r="B80" i="13"/>
  <c r="C80" i="13" s="1"/>
  <c r="H79" i="13"/>
  <c r="F79" i="13"/>
  <c r="F81" i="13" s="1"/>
  <c r="E79" i="13"/>
  <c r="B79" i="13"/>
  <c r="C79" i="13" s="1"/>
  <c r="C81" i="13" s="1"/>
  <c r="D77" i="13"/>
  <c r="B77" i="13"/>
  <c r="C76" i="13"/>
  <c r="B76" i="13"/>
  <c r="A76" i="13"/>
  <c r="B75" i="13"/>
  <c r="C75" i="13" s="1"/>
  <c r="C74" i="13"/>
  <c r="B74" i="13"/>
  <c r="B73" i="13"/>
  <c r="C73" i="13" s="1"/>
  <c r="B72" i="13"/>
  <c r="C72" i="13" s="1"/>
  <c r="C77" i="13" s="1"/>
  <c r="J70" i="13"/>
  <c r="I70" i="13"/>
  <c r="H70" i="13"/>
  <c r="G70" i="13"/>
  <c r="E70" i="13"/>
  <c r="D70" i="13"/>
  <c r="B70" i="13"/>
  <c r="H69" i="13"/>
  <c r="E69" i="13"/>
  <c r="F69" i="13" s="1"/>
  <c r="B69" i="13"/>
  <c r="C69" i="13" s="1"/>
  <c r="A69" i="13"/>
  <c r="H68" i="13"/>
  <c r="E68" i="13"/>
  <c r="F68" i="13" s="1"/>
  <c r="B68" i="13"/>
  <c r="C68" i="13" s="1"/>
  <c r="H67" i="13"/>
  <c r="E67" i="13"/>
  <c r="F67" i="13" s="1"/>
  <c r="B67" i="13"/>
  <c r="C67" i="13" s="1"/>
  <c r="H66" i="13"/>
  <c r="F66" i="13"/>
  <c r="E66" i="13"/>
  <c r="B66" i="13"/>
  <c r="C66" i="13" s="1"/>
  <c r="H65" i="13"/>
  <c r="E65" i="13"/>
  <c r="F65" i="13" s="1"/>
  <c r="B65" i="13"/>
  <c r="C65" i="13" s="1"/>
  <c r="H63" i="13"/>
  <c r="E63" i="13"/>
  <c r="B63" i="13"/>
  <c r="D62" i="13"/>
  <c r="B62" i="13"/>
  <c r="B61" i="13"/>
  <c r="C61" i="13" s="1"/>
  <c r="A61" i="13"/>
  <c r="C60" i="13"/>
  <c r="B60" i="13"/>
  <c r="C59" i="13"/>
  <c r="B59" i="13"/>
  <c r="B58" i="13"/>
  <c r="C58" i="13" s="1"/>
  <c r="B57" i="13"/>
  <c r="C57" i="13" s="1"/>
  <c r="B56" i="13"/>
  <c r="C56" i="13" s="1"/>
  <c r="C62" i="13" s="1"/>
  <c r="J54" i="13"/>
  <c r="I54" i="13"/>
  <c r="H54" i="13"/>
  <c r="G54" i="13"/>
  <c r="E54" i="13"/>
  <c r="D54" i="13"/>
  <c r="B54" i="13"/>
  <c r="H53" i="13"/>
  <c r="E53" i="13"/>
  <c r="F53" i="13" s="1"/>
  <c r="B53" i="13"/>
  <c r="C53" i="13" s="1"/>
  <c r="A53" i="13"/>
  <c r="H52" i="13"/>
  <c r="E52" i="13"/>
  <c r="F52" i="13" s="1"/>
  <c r="B52" i="13"/>
  <c r="C52" i="13" s="1"/>
  <c r="H51" i="13"/>
  <c r="E51" i="13"/>
  <c r="F51" i="13" s="1"/>
  <c r="B51" i="13"/>
  <c r="C51" i="13" s="1"/>
  <c r="H50" i="13"/>
  <c r="F50" i="13"/>
  <c r="E50" i="13"/>
  <c r="B50" i="13"/>
  <c r="C50" i="13" s="1"/>
  <c r="H49" i="13"/>
  <c r="F49" i="13"/>
  <c r="E49" i="13"/>
  <c r="B49" i="13"/>
  <c r="C49" i="13" s="1"/>
  <c r="H48" i="13"/>
  <c r="E48" i="13"/>
  <c r="F48" i="13" s="1"/>
  <c r="C48" i="13"/>
  <c r="B48" i="13"/>
  <c r="H47" i="13"/>
  <c r="E47" i="13"/>
  <c r="F47" i="13" s="1"/>
  <c r="B47" i="13"/>
  <c r="C47" i="13" s="1"/>
  <c r="H46" i="13"/>
  <c r="E46" i="13"/>
  <c r="F46" i="13" s="1"/>
  <c r="B46" i="13"/>
  <c r="C46" i="13" s="1"/>
  <c r="H45" i="13"/>
  <c r="E45" i="13"/>
  <c r="F45" i="13" s="1"/>
  <c r="B45" i="13"/>
  <c r="C45" i="13" s="1"/>
  <c r="H43" i="13"/>
  <c r="E43" i="13"/>
  <c r="F43" i="13" s="1"/>
  <c r="B43" i="13"/>
  <c r="C43" i="13" s="1"/>
  <c r="J42" i="13"/>
  <c r="J63" i="13" s="1"/>
  <c r="J97" i="13" s="1"/>
  <c r="J105" i="13" s="1"/>
  <c r="J107" i="13" s="1"/>
  <c r="I42" i="13"/>
  <c r="I63" i="13" s="1"/>
  <c r="I97" i="13" s="1"/>
  <c r="I105" i="13" s="1"/>
  <c r="I107" i="13" s="1"/>
  <c r="H42" i="13"/>
  <c r="G42" i="13"/>
  <c r="E42" i="13"/>
  <c r="D42" i="13"/>
  <c r="B42" i="13"/>
  <c r="H41" i="13"/>
  <c r="E41" i="13"/>
  <c r="F41" i="13" s="1"/>
  <c r="B41" i="13"/>
  <c r="C41" i="13" s="1"/>
  <c r="H40" i="13"/>
  <c r="E40" i="13"/>
  <c r="F40" i="13" s="1"/>
  <c r="F42" i="13" s="1"/>
  <c r="B40" i="13"/>
  <c r="C40" i="13" s="1"/>
  <c r="C42" i="13" s="1"/>
  <c r="J38" i="13"/>
  <c r="I38" i="13"/>
  <c r="H38" i="13"/>
  <c r="G38" i="13"/>
  <c r="G63" i="13" s="1"/>
  <c r="G97" i="13" s="1"/>
  <c r="G105" i="13" s="1"/>
  <c r="G107" i="13" s="1"/>
  <c r="E38" i="13"/>
  <c r="D38" i="13"/>
  <c r="B38" i="13"/>
  <c r="H37" i="13"/>
  <c r="E37" i="13"/>
  <c r="F37" i="13" s="1"/>
  <c r="B37" i="13"/>
  <c r="C37" i="13" s="1"/>
  <c r="A37" i="13"/>
  <c r="H36" i="13"/>
  <c r="E36" i="13"/>
  <c r="F36" i="13" s="1"/>
  <c r="C36" i="13"/>
  <c r="B36" i="13"/>
  <c r="H35" i="13"/>
  <c r="E35" i="13"/>
  <c r="F35" i="13" s="1"/>
  <c r="C35" i="13"/>
  <c r="B35" i="13"/>
  <c r="H34" i="13"/>
  <c r="E34" i="13"/>
  <c r="F34" i="13" s="1"/>
  <c r="B34" i="13"/>
  <c r="C34" i="13" s="1"/>
  <c r="H33" i="13"/>
  <c r="F33" i="13"/>
  <c r="E33" i="13"/>
  <c r="B33" i="13"/>
  <c r="C33" i="13" s="1"/>
  <c r="H32" i="13"/>
  <c r="E32" i="13"/>
  <c r="F32" i="13" s="1"/>
  <c r="B32" i="13"/>
  <c r="C32" i="13" s="1"/>
  <c r="H31" i="13"/>
  <c r="E31" i="13"/>
  <c r="F31" i="13" s="1"/>
  <c r="C31" i="13"/>
  <c r="B31" i="13"/>
  <c r="H30" i="13"/>
  <c r="E30" i="13"/>
  <c r="F30" i="13" s="1"/>
  <c r="B30" i="13"/>
  <c r="C30" i="13" s="1"/>
  <c r="H29" i="13"/>
  <c r="E29" i="13"/>
  <c r="F29" i="13" s="1"/>
  <c r="B29" i="13"/>
  <c r="C29" i="13" s="1"/>
  <c r="H27" i="13"/>
  <c r="E27" i="13"/>
  <c r="B27" i="13"/>
  <c r="J26" i="13"/>
  <c r="I26" i="13"/>
  <c r="H26" i="13"/>
  <c r="G26" i="13"/>
  <c r="F26" i="13"/>
  <c r="E26" i="13"/>
  <c r="D26" i="13"/>
  <c r="C26" i="13"/>
  <c r="B26" i="13"/>
  <c r="H25" i="13"/>
  <c r="E25" i="13"/>
  <c r="B25" i="13"/>
  <c r="A25" i="13"/>
  <c r="H24" i="13"/>
  <c r="E24" i="13"/>
  <c r="B24" i="13"/>
  <c r="H23" i="13"/>
  <c r="E23" i="13"/>
  <c r="B23" i="13"/>
  <c r="H22" i="13"/>
  <c r="E22" i="13"/>
  <c r="B22" i="13"/>
  <c r="H21" i="13"/>
  <c r="E21" i="13"/>
  <c r="B21" i="13"/>
  <c r="H20" i="13"/>
  <c r="E20" i="13"/>
  <c r="B20" i="13"/>
  <c r="H19" i="13"/>
  <c r="E19" i="13"/>
  <c r="B19" i="13"/>
  <c r="H18" i="13"/>
  <c r="E18" i="13"/>
  <c r="B18" i="13"/>
  <c r="H17" i="13"/>
  <c r="E17" i="13"/>
  <c r="B17" i="13"/>
  <c r="H15" i="13"/>
  <c r="E15" i="13"/>
  <c r="B15" i="13"/>
  <c r="H14" i="13"/>
  <c r="E14" i="13"/>
  <c r="B14" i="13"/>
  <c r="H13" i="13"/>
  <c r="E13" i="13"/>
  <c r="B13" i="13"/>
  <c r="B12" i="13"/>
  <c r="J11" i="13"/>
  <c r="I11" i="13"/>
  <c r="H11" i="13"/>
  <c r="D11" i="13"/>
  <c r="C11" i="13"/>
  <c r="B11" i="13"/>
  <c r="H10" i="13"/>
  <c r="E10" i="13"/>
  <c r="B10" i="13"/>
  <c r="H9" i="13"/>
  <c r="B9" i="13"/>
  <c r="D8" i="13"/>
  <c r="D12" i="13" s="1"/>
  <c r="B8" i="13"/>
  <c r="B7" i="13"/>
  <c r="B6" i="13"/>
  <c r="B5" i="13"/>
  <c r="B4" i="13"/>
  <c r="C4" i="13" s="1"/>
  <c r="C8" i="13" s="1"/>
  <c r="B131" i="4"/>
  <c r="Q108" i="4"/>
  <c r="P108" i="4"/>
  <c r="O108" i="4"/>
  <c r="N108" i="4"/>
  <c r="M108" i="4"/>
  <c r="L108" i="4"/>
  <c r="K108" i="4"/>
  <c r="J108" i="4"/>
  <c r="I108" i="4"/>
  <c r="H108" i="4"/>
  <c r="G108" i="4"/>
  <c r="F108" i="4"/>
  <c r="E108" i="4"/>
  <c r="T104" i="4"/>
  <c r="Q104" i="4"/>
  <c r="P104" i="4"/>
  <c r="O104" i="4"/>
  <c r="N104" i="4"/>
  <c r="M104" i="4"/>
  <c r="L104" i="4"/>
  <c r="K104" i="4"/>
  <c r="J104" i="4"/>
  <c r="I104" i="4"/>
  <c r="H104" i="4"/>
  <c r="G104" i="4"/>
  <c r="F104" i="4"/>
  <c r="E104" i="4"/>
  <c r="D104" i="4"/>
  <c r="C104" i="4"/>
  <c r="B104" i="4"/>
  <c r="R103" i="4"/>
  <c r="S103" i="4" s="1"/>
  <c r="B103" i="4"/>
  <c r="R102" i="4"/>
  <c r="S102" i="4" s="1"/>
  <c r="B102" i="4"/>
  <c r="R101" i="4"/>
  <c r="S101" i="4" s="1"/>
  <c r="B101" i="4"/>
  <c r="R100" i="4"/>
  <c r="S100" i="4" s="1"/>
  <c r="B100" i="4"/>
  <c r="R99" i="4"/>
  <c r="R104" i="4" s="1"/>
  <c r="B99" i="4"/>
  <c r="T96" i="4"/>
  <c r="Q96" i="4"/>
  <c r="P96" i="4"/>
  <c r="O96" i="4"/>
  <c r="N96" i="4"/>
  <c r="M96" i="4"/>
  <c r="L96" i="4"/>
  <c r="K96" i="4"/>
  <c r="J96" i="4"/>
  <c r="I96" i="4"/>
  <c r="H96" i="4"/>
  <c r="G96" i="4"/>
  <c r="F96" i="4"/>
  <c r="E96" i="4"/>
  <c r="D96" i="4"/>
  <c r="C96" i="4"/>
  <c r="B96" i="4"/>
  <c r="R95" i="4"/>
  <c r="S95" i="4" s="1"/>
  <c r="B95" i="4"/>
  <c r="R94" i="4"/>
  <c r="S94" i="4" s="1"/>
  <c r="B94" i="4"/>
  <c r="R93" i="4"/>
  <c r="S93" i="4" s="1"/>
  <c r="B93" i="4"/>
  <c r="S92" i="4"/>
  <c r="R92" i="4"/>
  <c r="B92" i="4"/>
  <c r="R91" i="4"/>
  <c r="S91" i="4" s="1"/>
  <c r="B91" i="4"/>
  <c r="R90" i="4"/>
  <c r="S90" i="4" s="1"/>
  <c r="B90" i="4"/>
  <c r="R89" i="4"/>
  <c r="S89" i="4" s="1"/>
  <c r="B89" i="4"/>
  <c r="R88" i="4"/>
  <c r="B88" i="4"/>
  <c r="S87" i="4"/>
  <c r="R87" i="4"/>
  <c r="B87" i="4"/>
  <c r="S86" i="4"/>
  <c r="R86" i="4"/>
  <c r="B86" i="4"/>
  <c r="S85" i="4"/>
  <c r="R85" i="4"/>
  <c r="B85" i="4"/>
  <c r="S84" i="4"/>
  <c r="R84" i="4"/>
  <c r="B84" i="4"/>
  <c r="R83" i="4"/>
  <c r="R96" i="4" s="1"/>
  <c r="B83" i="4"/>
  <c r="T81" i="4"/>
  <c r="Q81" i="4"/>
  <c r="P81" i="4"/>
  <c r="O81" i="4"/>
  <c r="N81" i="4"/>
  <c r="M81" i="4"/>
  <c r="L81" i="4"/>
  <c r="K81" i="4"/>
  <c r="J81" i="4"/>
  <c r="I81" i="4"/>
  <c r="H81" i="4"/>
  <c r="G81" i="4"/>
  <c r="F81" i="4"/>
  <c r="E81" i="4"/>
  <c r="D81" i="4"/>
  <c r="C81" i="4"/>
  <c r="B81" i="4"/>
  <c r="S80" i="4"/>
  <c r="R80" i="4"/>
  <c r="B80" i="4"/>
  <c r="S79" i="4"/>
  <c r="S81" i="4" s="1"/>
  <c r="R79" i="4"/>
  <c r="R81" i="4" s="1"/>
  <c r="B79" i="4"/>
  <c r="Q77" i="4"/>
  <c r="P77" i="4"/>
  <c r="O77" i="4"/>
  <c r="N77" i="4"/>
  <c r="M77" i="4"/>
  <c r="L77" i="4"/>
  <c r="K77" i="4"/>
  <c r="J77" i="4"/>
  <c r="I77" i="4"/>
  <c r="H77" i="4"/>
  <c r="G77" i="4"/>
  <c r="F77" i="4"/>
  <c r="E77" i="4"/>
  <c r="D77" i="4"/>
  <c r="C77" i="4"/>
  <c r="B77" i="4" s="1"/>
  <c r="R76" i="4"/>
  <c r="B76" i="4"/>
  <c r="R75" i="4"/>
  <c r="B75" i="4"/>
  <c r="R74" i="4"/>
  <c r="R77" i="4" s="1"/>
  <c r="B74" i="4"/>
  <c r="R73" i="4"/>
  <c r="B73" i="4"/>
  <c r="R72" i="4"/>
  <c r="B72" i="4"/>
  <c r="T70" i="4"/>
  <c r="Q70" i="4"/>
  <c r="P70" i="4"/>
  <c r="O70" i="4"/>
  <c r="N70" i="4"/>
  <c r="M70" i="4"/>
  <c r="L70" i="4"/>
  <c r="K70" i="4"/>
  <c r="J70" i="4"/>
  <c r="I70" i="4"/>
  <c r="H70" i="4"/>
  <c r="G70" i="4"/>
  <c r="F70" i="4"/>
  <c r="E70" i="4"/>
  <c r="D70" i="4"/>
  <c r="C70" i="4"/>
  <c r="B70" i="4"/>
  <c r="R69" i="4"/>
  <c r="S69" i="4" s="1"/>
  <c r="B69" i="4"/>
  <c r="S68" i="4"/>
  <c r="R68" i="4"/>
  <c r="B68" i="4"/>
  <c r="R67" i="4"/>
  <c r="S67" i="4" s="1"/>
  <c r="B67" i="4"/>
  <c r="S66" i="4"/>
  <c r="R66" i="4"/>
  <c r="B66" i="4"/>
  <c r="R65" i="4"/>
  <c r="S65" i="4" s="1"/>
  <c r="B65" i="4"/>
  <c r="Q62" i="4"/>
  <c r="P62" i="4"/>
  <c r="O62" i="4"/>
  <c r="N62" i="4"/>
  <c r="M62" i="4"/>
  <c r="L62" i="4"/>
  <c r="K62" i="4"/>
  <c r="J62" i="4"/>
  <c r="I62" i="4"/>
  <c r="H62" i="4"/>
  <c r="G62" i="4"/>
  <c r="F62" i="4"/>
  <c r="E62" i="4"/>
  <c r="D62" i="4"/>
  <c r="C62" i="4"/>
  <c r="B62" i="4"/>
  <c r="R61" i="4"/>
  <c r="B61" i="4"/>
  <c r="R60" i="4"/>
  <c r="B60" i="4"/>
  <c r="R59" i="4"/>
  <c r="B59" i="4"/>
  <c r="R58" i="4"/>
  <c r="B58" i="4"/>
  <c r="R57" i="4"/>
  <c r="B57" i="4"/>
  <c r="R56" i="4"/>
  <c r="R62" i="4" s="1"/>
  <c r="B56" i="4"/>
  <c r="T54" i="4"/>
  <c r="Q54" i="4"/>
  <c r="P54" i="4"/>
  <c r="O54" i="4"/>
  <c r="N54" i="4"/>
  <c r="M54" i="4"/>
  <c r="L54" i="4"/>
  <c r="K54" i="4"/>
  <c r="J54" i="4"/>
  <c r="I54" i="4"/>
  <c r="H54" i="4"/>
  <c r="G54" i="4"/>
  <c r="F54" i="4"/>
  <c r="E54" i="4"/>
  <c r="D54" i="4"/>
  <c r="C54" i="4"/>
  <c r="B54" i="4" s="1"/>
  <c r="R53" i="4"/>
  <c r="S53" i="4" s="1"/>
  <c r="B53" i="4"/>
  <c r="R52" i="4"/>
  <c r="S52" i="4" s="1"/>
  <c r="B52" i="4"/>
  <c r="R51" i="4"/>
  <c r="S51" i="4" s="1"/>
  <c r="B51" i="4"/>
  <c r="R50" i="4"/>
  <c r="S50" i="4" s="1"/>
  <c r="B50" i="4"/>
  <c r="R49" i="4"/>
  <c r="B49" i="4"/>
  <c r="R48" i="4"/>
  <c r="S48" i="4" s="1"/>
  <c r="B48" i="4"/>
  <c r="R47" i="4"/>
  <c r="S47" i="4" s="1"/>
  <c r="B47" i="4"/>
  <c r="R46" i="4"/>
  <c r="S46" i="4" s="1"/>
  <c r="B46" i="4"/>
  <c r="S45" i="4"/>
  <c r="S54" i="4" s="1"/>
  <c r="R45" i="4"/>
  <c r="R54" i="4" s="1"/>
  <c r="B45" i="4"/>
  <c r="R43" i="4"/>
  <c r="S43" i="4" s="1"/>
  <c r="B43" i="4"/>
  <c r="T42" i="4"/>
  <c r="Q42" i="4"/>
  <c r="P42" i="4"/>
  <c r="O42" i="4"/>
  <c r="O63" i="4" s="1"/>
  <c r="O97" i="4" s="1"/>
  <c r="O105" i="4" s="1"/>
  <c r="N42" i="4"/>
  <c r="M42" i="4"/>
  <c r="L42" i="4"/>
  <c r="L63" i="4" s="1"/>
  <c r="L97" i="4" s="1"/>
  <c r="L105" i="4" s="1"/>
  <c r="K42" i="4"/>
  <c r="J42" i="4"/>
  <c r="I42" i="4"/>
  <c r="I63" i="4" s="1"/>
  <c r="I97" i="4" s="1"/>
  <c r="I105" i="4" s="1"/>
  <c r="H42" i="4"/>
  <c r="G42" i="4"/>
  <c r="F42" i="4"/>
  <c r="E42" i="4"/>
  <c r="D42" i="4"/>
  <c r="C42" i="4"/>
  <c r="C63" i="4" s="1"/>
  <c r="C97" i="4" s="1"/>
  <c r="R41" i="4"/>
  <c r="S41" i="4" s="1"/>
  <c r="B41" i="4"/>
  <c r="R40" i="4"/>
  <c r="S40" i="4" s="1"/>
  <c r="B40" i="4"/>
  <c r="T38" i="4"/>
  <c r="Q38" i="4"/>
  <c r="P38" i="4"/>
  <c r="O38" i="4"/>
  <c r="N38" i="4"/>
  <c r="M38" i="4"/>
  <c r="L38" i="4"/>
  <c r="K38" i="4"/>
  <c r="J38" i="4"/>
  <c r="I38" i="4"/>
  <c r="H38" i="4"/>
  <c r="G38" i="4"/>
  <c r="F38" i="4"/>
  <c r="E38" i="4"/>
  <c r="D38" i="4"/>
  <c r="C38" i="4"/>
  <c r="B38" i="4" s="1"/>
  <c r="S37" i="4"/>
  <c r="R37" i="4"/>
  <c r="B37" i="4"/>
  <c r="S36" i="4"/>
  <c r="R36" i="4"/>
  <c r="B36" i="4"/>
  <c r="R35" i="4"/>
  <c r="S35" i="4" s="1"/>
  <c r="B35" i="4"/>
  <c r="S34" i="4"/>
  <c r="R34" i="4"/>
  <c r="B34" i="4"/>
  <c r="S33" i="4"/>
  <c r="R33" i="4"/>
  <c r="B33" i="4"/>
  <c r="S32" i="4"/>
  <c r="R32" i="4"/>
  <c r="B32" i="4"/>
  <c r="R31" i="4"/>
  <c r="S31" i="4" s="1"/>
  <c r="B31" i="4"/>
  <c r="S30" i="4"/>
  <c r="R30" i="4"/>
  <c r="E30" i="4"/>
  <c r="B30" i="4"/>
  <c r="R29" i="4"/>
  <c r="R38" i="4" s="1"/>
  <c r="B29" i="4"/>
  <c r="R27" i="4"/>
  <c r="B27" i="4"/>
  <c r="T26" i="4"/>
  <c r="S26" i="4"/>
  <c r="Q26" i="4"/>
  <c r="P26" i="4"/>
  <c r="P63" i="4" s="1"/>
  <c r="P97" i="4" s="1"/>
  <c r="P105" i="4" s="1"/>
  <c r="O26" i="4"/>
  <c r="N26" i="4"/>
  <c r="M26" i="4"/>
  <c r="L26" i="4"/>
  <c r="K26" i="4"/>
  <c r="J26" i="4"/>
  <c r="I26" i="4"/>
  <c r="H26" i="4"/>
  <c r="G26" i="4"/>
  <c r="F26" i="4"/>
  <c r="E26" i="4"/>
  <c r="D26" i="4"/>
  <c r="C26" i="4"/>
  <c r="B26" i="4"/>
  <c r="R25" i="4"/>
  <c r="B25" i="4"/>
  <c r="R24" i="4"/>
  <c r="B24" i="4"/>
  <c r="R23" i="4"/>
  <c r="B23" i="4"/>
  <c r="R22" i="4"/>
  <c r="B22" i="4"/>
  <c r="R21" i="4"/>
  <c r="B21" i="4"/>
  <c r="R20" i="4"/>
  <c r="B20" i="4"/>
  <c r="R19" i="4"/>
  <c r="B19" i="4"/>
  <c r="R18" i="4"/>
  <c r="R26" i="4" s="1"/>
  <c r="B18" i="4"/>
  <c r="R17" i="4"/>
  <c r="B17" i="4"/>
  <c r="R15" i="4"/>
  <c r="B15" i="4"/>
  <c r="R14" i="4"/>
  <c r="B14" i="4"/>
  <c r="R13" i="4"/>
  <c r="B13" i="4"/>
  <c r="O12" i="4"/>
  <c r="I12" i="4"/>
  <c r="F12" i="4"/>
  <c r="C12" i="4"/>
  <c r="T11" i="4"/>
  <c r="T63" i="4" s="1"/>
  <c r="T97" i="4" s="1"/>
  <c r="Q11" i="4"/>
  <c r="O11" i="4"/>
  <c r="N11" i="4"/>
  <c r="N63" i="4" s="1"/>
  <c r="N97" i="4" s="1"/>
  <c r="N105" i="4" s="1"/>
  <c r="M11" i="4"/>
  <c r="L11" i="4"/>
  <c r="K11" i="4"/>
  <c r="J11" i="4"/>
  <c r="I11" i="4"/>
  <c r="H11" i="4"/>
  <c r="H12" i="4" s="1"/>
  <c r="G11" i="4"/>
  <c r="F11" i="4"/>
  <c r="E11" i="4"/>
  <c r="D11" i="4"/>
  <c r="C11" i="4"/>
  <c r="B11" i="4"/>
  <c r="R10" i="4"/>
  <c r="B10" i="4"/>
  <c r="R9" i="4"/>
  <c r="R11" i="4" s="1"/>
  <c r="B9" i="4"/>
  <c r="Q8" i="4"/>
  <c r="Q12" i="4" s="1"/>
  <c r="O8" i="4"/>
  <c r="N8" i="4"/>
  <c r="N12" i="4" s="1"/>
  <c r="M8" i="4"/>
  <c r="M12" i="4" s="1"/>
  <c r="L8" i="4"/>
  <c r="L12" i="4" s="1"/>
  <c r="K8" i="4"/>
  <c r="K12" i="4" s="1"/>
  <c r="J8" i="4"/>
  <c r="J63" i="4" s="1"/>
  <c r="J97" i="4" s="1"/>
  <c r="J105" i="4" s="1"/>
  <c r="I8" i="4"/>
  <c r="H8" i="4"/>
  <c r="H63" i="4" s="1"/>
  <c r="H97" i="4" s="1"/>
  <c r="H105" i="4" s="1"/>
  <c r="G8" i="4"/>
  <c r="G63" i="4" s="1"/>
  <c r="G97" i="4" s="1"/>
  <c r="G105" i="4" s="1"/>
  <c r="F8" i="4"/>
  <c r="F63" i="4" s="1"/>
  <c r="F97" i="4" s="1"/>
  <c r="F105" i="4" s="1"/>
  <c r="E8" i="4"/>
  <c r="E63" i="4" s="1"/>
  <c r="E97" i="4" s="1"/>
  <c r="E105" i="4" s="1"/>
  <c r="D8" i="4"/>
  <c r="D12" i="4" s="1"/>
  <c r="C8" i="4"/>
  <c r="B8" i="4" s="1"/>
  <c r="R7" i="4"/>
  <c r="B7" i="4"/>
  <c r="R6" i="4"/>
  <c r="B6" i="4"/>
  <c r="R5" i="4"/>
  <c r="B5" i="4"/>
  <c r="R4" i="4"/>
  <c r="R8" i="4" s="1"/>
  <c r="B4" i="4"/>
  <c r="Q2" i="4"/>
  <c r="P2" i="4"/>
  <c r="O2" i="4"/>
  <c r="N2" i="4"/>
  <c r="M2" i="4"/>
  <c r="L2" i="4"/>
  <c r="K2" i="4"/>
  <c r="J2" i="4"/>
  <c r="I2" i="4"/>
  <c r="H2" i="4"/>
  <c r="G2" i="4"/>
  <c r="F2" i="4"/>
  <c r="BA1061" i="3"/>
  <c r="AZ1057" i="3"/>
  <c r="AZ1056" i="3"/>
  <c r="AZ1054" i="3"/>
  <c r="AZ1058" i="3" s="1"/>
  <c r="BA1050" i="3"/>
  <c r="AJ1050" i="3"/>
  <c r="BA1049" i="3"/>
  <c r="BA1055" i="3" s="1"/>
  <c r="BA1047" i="3"/>
  <c r="AJ1045" i="3"/>
  <c r="AJ1041" i="3"/>
  <c r="AJ1038" i="3"/>
  <c r="AY1036" i="3"/>
  <c r="AF1035" i="3"/>
  <c r="AJ1034" i="3"/>
  <c r="AY1032" i="3"/>
  <c r="AY1031" i="3"/>
  <c r="AY1030" i="3"/>
  <c r="AF1030" i="3"/>
  <c r="AY1029" i="3"/>
  <c r="AJ1029" i="3"/>
  <c r="AY1028" i="3"/>
  <c r="AY1027" i="3"/>
  <c r="AY1026" i="3"/>
  <c r="AY1025" i="3"/>
  <c r="AY1024" i="3"/>
  <c r="AY1023" i="3"/>
  <c r="AY1022" i="3"/>
  <c r="AJ1022" i="3"/>
  <c r="AJ1020" i="3"/>
  <c r="AJ1016" i="3"/>
  <c r="AJ1010" i="3"/>
  <c r="AJ1003" i="3"/>
  <c r="AA928" i="3"/>
  <c r="AW927" i="3"/>
  <c r="AA927" i="3"/>
  <c r="AG927" i="3" s="1"/>
  <c r="Z911" i="3"/>
  <c r="AC895" i="3"/>
  <c r="AC893" i="3"/>
  <c r="W888" i="3"/>
  <c r="W881" i="3"/>
  <c r="W870" i="3"/>
  <c r="W863" i="3"/>
  <c r="W855" i="3"/>
  <c r="AG840" i="3"/>
  <c r="AC840" i="3"/>
  <c r="Y840" i="3"/>
  <c r="U840" i="3"/>
  <c r="Q840" i="3"/>
  <c r="M840" i="3"/>
  <c r="Z825" i="3"/>
  <c r="O805" i="3"/>
  <c r="C806" i="3" s="1"/>
  <c r="ET804" i="3"/>
  <c r="EJ804" i="3"/>
  <c r="EE804" i="3"/>
  <c r="DZ804" i="3"/>
  <c r="DO804" i="3"/>
  <c r="DJ804" i="3"/>
  <c r="EO804" i="3" s="1"/>
  <c r="DE804" i="3"/>
  <c r="CZ804" i="3"/>
  <c r="CU804" i="3"/>
  <c r="CP804" i="3"/>
  <c r="DU804" i="3" s="1"/>
  <c r="AC804" i="3"/>
  <c r="EO803" i="3"/>
  <c r="EJ803" i="3"/>
  <c r="EE803" i="3"/>
  <c r="DO803" i="3"/>
  <c r="ET803" i="3" s="1"/>
  <c r="DJ803" i="3"/>
  <c r="DE803" i="3"/>
  <c r="CZ803" i="3"/>
  <c r="CU803" i="3"/>
  <c r="DZ803" i="3" s="1"/>
  <c r="CP803" i="3"/>
  <c r="DU803" i="3" s="1"/>
  <c r="AC803" i="3"/>
  <c r="ET802" i="3"/>
  <c r="EO802" i="3"/>
  <c r="EJ802" i="3"/>
  <c r="DU802" i="3"/>
  <c r="DO802" i="3"/>
  <c r="DJ802" i="3"/>
  <c r="DE802" i="3"/>
  <c r="CZ802" i="3"/>
  <c r="EE802" i="3" s="1"/>
  <c r="CU802" i="3"/>
  <c r="DZ802" i="3" s="1"/>
  <c r="CP802" i="3"/>
  <c r="AC802" i="3"/>
  <c r="ET801" i="3"/>
  <c r="EO801" i="3"/>
  <c r="DZ801" i="3"/>
  <c r="DO801" i="3"/>
  <c r="DJ801" i="3"/>
  <c r="DE801" i="3"/>
  <c r="EJ801" i="3" s="1"/>
  <c r="CZ801" i="3"/>
  <c r="EE801" i="3" s="1"/>
  <c r="CU801" i="3"/>
  <c r="CP801" i="3"/>
  <c r="DU801" i="3" s="1"/>
  <c r="AC801" i="3"/>
  <c r="ET800" i="3"/>
  <c r="EE800" i="3"/>
  <c r="DO800" i="3"/>
  <c r="DJ800" i="3"/>
  <c r="EO800" i="3" s="1"/>
  <c r="DE800" i="3"/>
  <c r="EJ800" i="3" s="1"/>
  <c r="CZ800" i="3"/>
  <c r="CU800" i="3"/>
  <c r="DZ800" i="3" s="1"/>
  <c r="CP800" i="3"/>
  <c r="DU800" i="3" s="1"/>
  <c r="AC800" i="3"/>
  <c r="AC805" i="3" s="1"/>
  <c r="EJ799" i="3"/>
  <c r="DO799" i="3"/>
  <c r="ET799" i="3" s="1"/>
  <c r="DJ799" i="3"/>
  <c r="EO799" i="3" s="1"/>
  <c r="DE799" i="3"/>
  <c r="CZ799" i="3"/>
  <c r="EE799" i="3" s="1"/>
  <c r="CU799" i="3"/>
  <c r="DZ799" i="3" s="1"/>
  <c r="CP799" i="3"/>
  <c r="DU799" i="3" s="1"/>
  <c r="AC799" i="3"/>
  <c r="EO798" i="3"/>
  <c r="DU798" i="3"/>
  <c r="DO798" i="3"/>
  <c r="ET798" i="3" s="1"/>
  <c r="DJ798" i="3"/>
  <c r="DE798" i="3"/>
  <c r="EJ798" i="3" s="1"/>
  <c r="CZ798" i="3"/>
  <c r="EE798" i="3" s="1"/>
  <c r="CU798" i="3"/>
  <c r="DZ798" i="3" s="1"/>
  <c r="CP798" i="3"/>
  <c r="AC798" i="3"/>
  <c r="ET797" i="3"/>
  <c r="DZ797" i="3"/>
  <c r="DU797" i="3"/>
  <c r="DO797" i="3"/>
  <c r="DJ797" i="3"/>
  <c r="EO797" i="3" s="1"/>
  <c r="DE797" i="3"/>
  <c r="EJ797" i="3" s="1"/>
  <c r="CZ797" i="3"/>
  <c r="EE797" i="3" s="1"/>
  <c r="CU797" i="3"/>
  <c r="CP797" i="3"/>
  <c r="AC797" i="3"/>
  <c r="EE796" i="3"/>
  <c r="DZ796" i="3"/>
  <c r="DO796" i="3"/>
  <c r="ET796" i="3" s="1"/>
  <c r="DJ796" i="3"/>
  <c r="EO796" i="3" s="1"/>
  <c r="DE796" i="3"/>
  <c r="EJ796" i="3" s="1"/>
  <c r="CZ796" i="3"/>
  <c r="CU796" i="3"/>
  <c r="CP796" i="3"/>
  <c r="CP805" i="3" s="1"/>
  <c r="AC796" i="3"/>
  <c r="EJ795" i="3"/>
  <c r="EE795" i="3"/>
  <c r="DU795" i="3"/>
  <c r="DO795" i="3"/>
  <c r="ET795" i="3" s="1"/>
  <c r="ET805" i="3" s="1"/>
  <c r="DJ795" i="3"/>
  <c r="DE795" i="3"/>
  <c r="CZ795" i="3"/>
  <c r="CU795" i="3"/>
  <c r="CP795" i="3"/>
  <c r="AC795" i="3"/>
  <c r="CT786" i="3"/>
  <c r="CP785" i="3"/>
  <c r="O785" i="3"/>
  <c r="DO784" i="3"/>
  <c r="DJ784" i="3"/>
  <c r="DE784" i="3"/>
  <c r="CZ784" i="3"/>
  <c r="CU784" i="3"/>
  <c r="CP784" i="3"/>
  <c r="AC784" i="3"/>
  <c r="DO783" i="3"/>
  <c r="DJ783" i="3"/>
  <c r="DJ785" i="3" s="1"/>
  <c r="DN786" i="3" s="1"/>
  <c r="DE783" i="3"/>
  <c r="CZ783" i="3"/>
  <c r="CU783" i="3"/>
  <c r="CP783" i="3"/>
  <c r="AC783" i="3"/>
  <c r="DO782" i="3"/>
  <c r="DJ782" i="3"/>
  <c r="DE782" i="3"/>
  <c r="CZ782" i="3"/>
  <c r="CU782" i="3"/>
  <c r="CP782" i="3"/>
  <c r="AC782" i="3"/>
  <c r="DO781" i="3"/>
  <c r="DO785" i="3" s="1"/>
  <c r="DS786" i="3" s="1"/>
  <c r="DJ781" i="3"/>
  <c r="DE781" i="3"/>
  <c r="CZ781" i="3"/>
  <c r="CZ785" i="3" s="1"/>
  <c r="DD786" i="3" s="1"/>
  <c r="CU781" i="3"/>
  <c r="CU785" i="3" s="1"/>
  <c r="CY786" i="3" s="1"/>
  <c r="CP781" i="3"/>
  <c r="AC781" i="3"/>
  <c r="AC785" i="3" s="1"/>
  <c r="G761" i="3"/>
  <c r="C765" i="3" s="1"/>
  <c r="FT760" i="3"/>
  <c r="ET760" i="3"/>
  <c r="EO760" i="3"/>
  <c r="EJ760" i="3"/>
  <c r="EE760" i="3"/>
  <c r="DZ760" i="3"/>
  <c r="DU760" i="3"/>
  <c r="DO760" i="3"/>
  <c r="FY760" i="3" s="1"/>
  <c r="DJ760" i="3"/>
  <c r="DE760" i="3"/>
  <c r="FO760" i="3" s="1"/>
  <c r="CZ760" i="3"/>
  <c r="FJ760" i="3" s="1"/>
  <c r="CU760" i="3"/>
  <c r="FE760" i="3" s="1"/>
  <c r="CP760" i="3"/>
  <c r="EZ760" i="3" s="1"/>
  <c r="CM760" i="3"/>
  <c r="CK760" i="3"/>
  <c r="CG760" i="3"/>
  <c r="CI760" i="3" s="1"/>
  <c r="BS760" i="3"/>
  <c r="BF760" i="3"/>
  <c r="AZ760" i="3"/>
  <c r="AH760" i="3"/>
  <c r="X760" i="3"/>
  <c r="ET759" i="3"/>
  <c r="EO759" i="3"/>
  <c r="EJ759" i="3"/>
  <c r="EE759" i="3"/>
  <c r="DZ759" i="3"/>
  <c r="DU759" i="3"/>
  <c r="DO759" i="3"/>
  <c r="FY759" i="3" s="1"/>
  <c r="DJ759" i="3"/>
  <c r="FT759" i="3" s="1"/>
  <c r="DE759" i="3"/>
  <c r="FO759" i="3" s="1"/>
  <c r="CZ759" i="3"/>
  <c r="FJ759" i="3" s="1"/>
  <c r="CU759" i="3"/>
  <c r="FE759" i="3" s="1"/>
  <c r="CP759" i="3"/>
  <c r="EZ759" i="3" s="1"/>
  <c r="CM759" i="3"/>
  <c r="CK759" i="3"/>
  <c r="CG759" i="3"/>
  <c r="CI759" i="3" s="1"/>
  <c r="BS759" i="3"/>
  <c r="BF759" i="3"/>
  <c r="AZ759" i="3"/>
  <c r="AH759" i="3"/>
  <c r="X759" i="3"/>
  <c r="FE758" i="3"/>
  <c r="ET758" i="3"/>
  <c r="EO758" i="3"/>
  <c r="EJ758" i="3"/>
  <c r="EE758" i="3"/>
  <c r="DZ758" i="3"/>
  <c r="DU758" i="3"/>
  <c r="DO758" i="3"/>
  <c r="FY758" i="3" s="1"/>
  <c r="DJ758" i="3"/>
  <c r="FT758" i="3" s="1"/>
  <c r="DE758" i="3"/>
  <c r="FO758" i="3" s="1"/>
  <c r="CZ758" i="3"/>
  <c r="FJ758" i="3" s="1"/>
  <c r="CU758" i="3"/>
  <c r="CP758" i="3"/>
  <c r="EZ758" i="3" s="1"/>
  <c r="CK758" i="3"/>
  <c r="CM758" i="3" s="1"/>
  <c r="CG758" i="3"/>
  <c r="CI758" i="3" s="1"/>
  <c r="BS758" i="3"/>
  <c r="BF758" i="3"/>
  <c r="AZ758" i="3"/>
  <c r="AH758" i="3"/>
  <c r="X758" i="3"/>
  <c r="FE757" i="3"/>
  <c r="ET757" i="3"/>
  <c r="EO757" i="3"/>
  <c r="EJ757" i="3"/>
  <c r="EE757" i="3"/>
  <c r="DZ757" i="3"/>
  <c r="DU757" i="3"/>
  <c r="DO757" i="3"/>
  <c r="FY757" i="3" s="1"/>
  <c r="DJ757" i="3"/>
  <c r="FT757" i="3" s="1"/>
  <c r="DE757" i="3"/>
  <c r="FO757" i="3" s="1"/>
  <c r="CZ757" i="3"/>
  <c r="FJ757" i="3" s="1"/>
  <c r="CU757" i="3"/>
  <c r="CP757" i="3"/>
  <c r="EZ757" i="3" s="1"/>
  <c r="CK757" i="3"/>
  <c r="CM757" i="3" s="1"/>
  <c r="CG757" i="3"/>
  <c r="CI757" i="3" s="1"/>
  <c r="BS757" i="3"/>
  <c r="BF757" i="3"/>
  <c r="AZ757" i="3"/>
  <c r="AH757" i="3"/>
  <c r="X757" i="3"/>
  <c r="FO756" i="3"/>
  <c r="ET756" i="3"/>
  <c r="EO756" i="3"/>
  <c r="EJ756" i="3"/>
  <c r="EE756" i="3"/>
  <c r="DZ756" i="3"/>
  <c r="DU756" i="3"/>
  <c r="DO756" i="3"/>
  <c r="FY756" i="3" s="1"/>
  <c r="DJ756" i="3"/>
  <c r="FT756" i="3" s="1"/>
  <c r="DE756" i="3"/>
  <c r="CZ756" i="3"/>
  <c r="FJ756" i="3" s="1"/>
  <c r="CU756" i="3"/>
  <c r="FE756" i="3" s="1"/>
  <c r="CP756" i="3"/>
  <c r="EZ756" i="3" s="1"/>
  <c r="CK756" i="3"/>
  <c r="CM756" i="3" s="1"/>
  <c r="CG756" i="3"/>
  <c r="CI756" i="3" s="1"/>
  <c r="BS756" i="3"/>
  <c r="BF756" i="3"/>
  <c r="AZ756" i="3"/>
  <c r="AH756" i="3"/>
  <c r="X756" i="3"/>
  <c r="FO755" i="3"/>
  <c r="ET755" i="3"/>
  <c r="EO755" i="3"/>
  <c r="EJ755" i="3"/>
  <c r="EE755" i="3"/>
  <c r="DZ755" i="3"/>
  <c r="DU755" i="3"/>
  <c r="DO755" i="3"/>
  <c r="FY755" i="3" s="1"/>
  <c r="DJ755" i="3"/>
  <c r="FT755" i="3" s="1"/>
  <c r="DE755" i="3"/>
  <c r="CZ755" i="3"/>
  <c r="FJ755" i="3" s="1"/>
  <c r="CU755" i="3"/>
  <c r="FE755" i="3" s="1"/>
  <c r="CP755" i="3"/>
  <c r="EZ755" i="3" s="1"/>
  <c r="CK755" i="3"/>
  <c r="CM755" i="3" s="1"/>
  <c r="CI755" i="3"/>
  <c r="CG755" i="3"/>
  <c r="BS755" i="3"/>
  <c r="BF755" i="3"/>
  <c r="AZ755" i="3"/>
  <c r="AH755" i="3"/>
  <c r="X755" i="3"/>
  <c r="ET754" i="3"/>
  <c r="EO754" i="3"/>
  <c r="EJ754" i="3"/>
  <c r="EE754" i="3"/>
  <c r="DZ754" i="3"/>
  <c r="DU754" i="3"/>
  <c r="DO754" i="3"/>
  <c r="FY754" i="3" s="1"/>
  <c r="DJ754" i="3"/>
  <c r="FT754" i="3" s="1"/>
  <c r="DE754" i="3"/>
  <c r="FO754" i="3" s="1"/>
  <c r="CZ754" i="3"/>
  <c r="FJ754" i="3" s="1"/>
  <c r="CU754" i="3"/>
  <c r="FE754" i="3" s="1"/>
  <c r="CP754" i="3"/>
  <c r="EZ754" i="3" s="1"/>
  <c r="CK754" i="3"/>
  <c r="CM754" i="3" s="1"/>
  <c r="CG754" i="3"/>
  <c r="CI754" i="3" s="1"/>
  <c r="BS754" i="3"/>
  <c r="BF754" i="3"/>
  <c r="AZ754" i="3"/>
  <c r="AH754" i="3"/>
  <c r="X754" i="3"/>
  <c r="ET753" i="3"/>
  <c r="EO753" i="3"/>
  <c r="EJ753" i="3"/>
  <c r="EE753" i="3"/>
  <c r="DZ753" i="3"/>
  <c r="DU753" i="3"/>
  <c r="DO753" i="3"/>
  <c r="FY753" i="3" s="1"/>
  <c r="DJ753" i="3"/>
  <c r="FT753" i="3" s="1"/>
  <c r="DE753" i="3"/>
  <c r="FO753" i="3" s="1"/>
  <c r="CZ753" i="3"/>
  <c r="FJ753" i="3" s="1"/>
  <c r="CU753" i="3"/>
  <c r="FE753" i="3" s="1"/>
  <c r="CP753" i="3"/>
  <c r="EZ753" i="3" s="1"/>
  <c r="CM753" i="3"/>
  <c r="CK753" i="3"/>
  <c r="CI753" i="3"/>
  <c r="CG753" i="3"/>
  <c r="BS753" i="3"/>
  <c r="BF753" i="3"/>
  <c r="AZ753" i="3"/>
  <c r="AH753" i="3"/>
  <c r="X753" i="3"/>
  <c r="ET752" i="3"/>
  <c r="EO752" i="3"/>
  <c r="EJ752" i="3"/>
  <c r="EE752" i="3"/>
  <c r="DZ752" i="3"/>
  <c r="DU752" i="3"/>
  <c r="DO752" i="3"/>
  <c r="FY752" i="3" s="1"/>
  <c r="DJ752" i="3"/>
  <c r="FT752" i="3" s="1"/>
  <c r="DE752" i="3"/>
  <c r="FO752" i="3" s="1"/>
  <c r="CZ752" i="3"/>
  <c r="FJ752" i="3" s="1"/>
  <c r="CU752" i="3"/>
  <c r="FE752" i="3" s="1"/>
  <c r="CP752" i="3"/>
  <c r="EZ752" i="3" s="1"/>
  <c r="CK752" i="3"/>
  <c r="CM752" i="3" s="1"/>
  <c r="CG752" i="3"/>
  <c r="CI752" i="3" s="1"/>
  <c r="BS752" i="3"/>
  <c r="BF752" i="3"/>
  <c r="AZ752" i="3"/>
  <c r="AH752" i="3"/>
  <c r="X752" i="3"/>
  <c r="ET751" i="3"/>
  <c r="EO751" i="3"/>
  <c r="EJ751" i="3"/>
  <c r="EE751" i="3"/>
  <c r="DZ751" i="3"/>
  <c r="DU751" i="3"/>
  <c r="DO751" i="3"/>
  <c r="FY751" i="3" s="1"/>
  <c r="DJ751" i="3"/>
  <c r="FT751" i="3" s="1"/>
  <c r="DE751" i="3"/>
  <c r="FO751" i="3" s="1"/>
  <c r="CZ751" i="3"/>
  <c r="FJ751" i="3" s="1"/>
  <c r="CU751" i="3"/>
  <c r="FE751" i="3" s="1"/>
  <c r="CP751" i="3"/>
  <c r="EZ751" i="3" s="1"/>
  <c r="CM751" i="3"/>
  <c r="CK751" i="3"/>
  <c r="CG751" i="3"/>
  <c r="CI751" i="3" s="1"/>
  <c r="BS751" i="3"/>
  <c r="BF751" i="3"/>
  <c r="AZ751" i="3"/>
  <c r="AH751" i="3"/>
  <c r="X751" i="3"/>
  <c r="FJ750" i="3"/>
  <c r="ET750" i="3"/>
  <c r="EO750" i="3"/>
  <c r="EJ750" i="3"/>
  <c r="EE750" i="3"/>
  <c r="DZ750" i="3"/>
  <c r="DU750" i="3"/>
  <c r="DO750" i="3"/>
  <c r="FY750" i="3" s="1"/>
  <c r="DJ750" i="3"/>
  <c r="FT750" i="3" s="1"/>
  <c r="DE750" i="3"/>
  <c r="FO750" i="3" s="1"/>
  <c r="CZ750" i="3"/>
  <c r="CU750" i="3"/>
  <c r="FE750" i="3" s="1"/>
  <c r="CP750" i="3"/>
  <c r="EZ750" i="3" s="1"/>
  <c r="CK750" i="3"/>
  <c r="CM750" i="3" s="1"/>
  <c r="CI750" i="3"/>
  <c r="CG750" i="3"/>
  <c r="BS750" i="3"/>
  <c r="BF750" i="3"/>
  <c r="AZ750" i="3"/>
  <c r="AH750" i="3"/>
  <c r="X750" i="3"/>
  <c r="ET749" i="3"/>
  <c r="EO749" i="3"/>
  <c r="EJ749" i="3"/>
  <c r="EE749" i="3"/>
  <c r="DZ749" i="3"/>
  <c r="DU749" i="3"/>
  <c r="DO749" i="3"/>
  <c r="FY749" i="3" s="1"/>
  <c r="DJ749" i="3"/>
  <c r="FT749" i="3" s="1"/>
  <c r="ER666" i="3" s="1"/>
  <c r="DE749" i="3"/>
  <c r="FO749" i="3" s="1"/>
  <c r="CZ749" i="3"/>
  <c r="FJ749" i="3" s="1"/>
  <c r="CU749" i="3"/>
  <c r="FE749" i="3" s="1"/>
  <c r="CP749" i="3"/>
  <c r="EZ749" i="3" s="1"/>
  <c r="CK749" i="3"/>
  <c r="CM749" i="3" s="1"/>
  <c r="CI749" i="3"/>
  <c r="CG749" i="3"/>
  <c r="BS749" i="3"/>
  <c r="BF749" i="3"/>
  <c r="AZ749" i="3"/>
  <c r="AH749" i="3"/>
  <c r="X749" i="3"/>
  <c r="ET748" i="3"/>
  <c r="EO748" i="3"/>
  <c r="EJ748" i="3"/>
  <c r="EE748" i="3"/>
  <c r="DZ748" i="3"/>
  <c r="DU748" i="3"/>
  <c r="DO748" i="3"/>
  <c r="FY748" i="3" s="1"/>
  <c r="DJ748" i="3"/>
  <c r="FT748" i="3" s="1"/>
  <c r="ER665" i="3" s="1"/>
  <c r="DE748" i="3"/>
  <c r="FO748" i="3" s="1"/>
  <c r="CZ748" i="3"/>
  <c r="FJ748" i="3" s="1"/>
  <c r="CU748" i="3"/>
  <c r="FE748" i="3" s="1"/>
  <c r="CP748" i="3"/>
  <c r="EZ748" i="3" s="1"/>
  <c r="CM748" i="3"/>
  <c r="CK748" i="3"/>
  <c r="CG748" i="3"/>
  <c r="CI748" i="3" s="1"/>
  <c r="BS748" i="3"/>
  <c r="BF748" i="3"/>
  <c r="AZ748" i="3"/>
  <c r="AH748" i="3"/>
  <c r="X748" i="3"/>
  <c r="ET747" i="3"/>
  <c r="EO747" i="3"/>
  <c r="EJ747" i="3"/>
  <c r="EE747" i="3"/>
  <c r="DZ747" i="3"/>
  <c r="DU747" i="3"/>
  <c r="DO747" i="3"/>
  <c r="FY747" i="3" s="1"/>
  <c r="DJ747" i="3"/>
  <c r="FT747" i="3" s="1"/>
  <c r="DE747" i="3"/>
  <c r="FO747" i="3" s="1"/>
  <c r="CZ747" i="3"/>
  <c r="FJ747" i="3" s="1"/>
  <c r="CU747" i="3"/>
  <c r="FE747" i="3" s="1"/>
  <c r="CP747" i="3"/>
  <c r="EZ747" i="3" s="1"/>
  <c r="CM747" i="3"/>
  <c r="CK747" i="3"/>
  <c r="CG747" i="3"/>
  <c r="CI747" i="3" s="1"/>
  <c r="BS747" i="3"/>
  <c r="BF747" i="3"/>
  <c r="AZ747" i="3"/>
  <c r="AH747" i="3"/>
  <c r="X747" i="3"/>
  <c r="FJ746" i="3"/>
  <c r="FE746" i="3"/>
  <c r="ET746" i="3"/>
  <c r="EO746" i="3"/>
  <c r="EJ746" i="3"/>
  <c r="EE746" i="3"/>
  <c r="DZ746" i="3"/>
  <c r="DU746" i="3"/>
  <c r="DO746" i="3"/>
  <c r="FY746" i="3" s="1"/>
  <c r="DJ746" i="3"/>
  <c r="FT746" i="3" s="1"/>
  <c r="ER663" i="3" s="1"/>
  <c r="DE746" i="3"/>
  <c r="FO746" i="3" s="1"/>
  <c r="CZ746" i="3"/>
  <c r="CU746" i="3"/>
  <c r="CP746" i="3"/>
  <c r="EZ746" i="3" s="1"/>
  <c r="CK746" i="3"/>
  <c r="CM746" i="3" s="1"/>
  <c r="CG746" i="3"/>
  <c r="CI746" i="3" s="1"/>
  <c r="BS746" i="3"/>
  <c r="BF746" i="3"/>
  <c r="AZ746" i="3"/>
  <c r="AH746" i="3"/>
  <c r="X746" i="3"/>
  <c r="ET745" i="3"/>
  <c r="EO745" i="3"/>
  <c r="EJ745" i="3"/>
  <c r="EE745" i="3"/>
  <c r="DZ745" i="3"/>
  <c r="DU745" i="3"/>
  <c r="DO745" i="3"/>
  <c r="FY745" i="3" s="1"/>
  <c r="DJ745" i="3"/>
  <c r="FT745" i="3" s="1"/>
  <c r="DE745" i="3"/>
  <c r="FO745" i="3" s="1"/>
  <c r="CZ745" i="3"/>
  <c r="FJ745" i="3" s="1"/>
  <c r="CU745" i="3"/>
  <c r="FE745" i="3" s="1"/>
  <c r="CP745" i="3"/>
  <c r="EZ745" i="3" s="1"/>
  <c r="CK745" i="3"/>
  <c r="CM745" i="3" s="1"/>
  <c r="CG745" i="3"/>
  <c r="CI745" i="3" s="1"/>
  <c r="BS745" i="3"/>
  <c r="BF745" i="3"/>
  <c r="AZ745" i="3"/>
  <c r="AH745" i="3"/>
  <c r="X745" i="3"/>
  <c r="FT744" i="3"/>
  <c r="FO744" i="3"/>
  <c r="ET744" i="3"/>
  <c r="EO744" i="3"/>
  <c r="EJ744" i="3"/>
  <c r="EE744" i="3"/>
  <c r="DZ744" i="3"/>
  <c r="DU744" i="3"/>
  <c r="DO744" i="3"/>
  <c r="FY744" i="3" s="1"/>
  <c r="DJ744" i="3"/>
  <c r="DE744" i="3"/>
  <c r="CZ744" i="3"/>
  <c r="FJ744" i="3" s="1"/>
  <c r="CU744" i="3"/>
  <c r="FE744" i="3" s="1"/>
  <c r="CP744" i="3"/>
  <c r="EZ744" i="3" s="1"/>
  <c r="CK744" i="3"/>
  <c r="CM744" i="3" s="1"/>
  <c r="CG744" i="3"/>
  <c r="CI744" i="3" s="1"/>
  <c r="BS744" i="3"/>
  <c r="BF744" i="3"/>
  <c r="AZ744" i="3"/>
  <c r="AH744" i="3"/>
  <c r="X744" i="3"/>
  <c r="ET743" i="3"/>
  <c r="EO743" i="3"/>
  <c r="EJ743" i="3"/>
  <c r="EE743" i="3"/>
  <c r="DZ743" i="3"/>
  <c r="DU743" i="3"/>
  <c r="DO743" i="3"/>
  <c r="FY743" i="3" s="1"/>
  <c r="DJ743" i="3"/>
  <c r="FT743" i="3" s="1"/>
  <c r="DE743" i="3"/>
  <c r="FO743" i="3" s="1"/>
  <c r="CZ743" i="3"/>
  <c r="FJ743" i="3" s="1"/>
  <c r="CU743" i="3"/>
  <c r="FE743" i="3" s="1"/>
  <c r="CP743" i="3"/>
  <c r="EZ743" i="3" s="1"/>
  <c r="CK743" i="3"/>
  <c r="CM743" i="3" s="1"/>
  <c r="CI743" i="3"/>
  <c r="CG743" i="3"/>
  <c r="BS743" i="3"/>
  <c r="BF743" i="3"/>
  <c r="AZ743" i="3"/>
  <c r="AH743" i="3"/>
  <c r="X743" i="3"/>
  <c r="ET742" i="3"/>
  <c r="EO742" i="3"/>
  <c r="EJ742" i="3"/>
  <c r="EE742" i="3"/>
  <c r="DZ742" i="3"/>
  <c r="DU742" i="3"/>
  <c r="DO742" i="3"/>
  <c r="FY742" i="3" s="1"/>
  <c r="DJ742" i="3"/>
  <c r="FT742" i="3" s="1"/>
  <c r="ER659" i="3" s="1"/>
  <c r="DE742" i="3"/>
  <c r="FO742" i="3" s="1"/>
  <c r="CZ742" i="3"/>
  <c r="FJ742" i="3" s="1"/>
  <c r="CU742" i="3"/>
  <c r="FE742" i="3" s="1"/>
  <c r="CP742" i="3"/>
  <c r="EZ742" i="3" s="1"/>
  <c r="CK742" i="3"/>
  <c r="CM742" i="3" s="1"/>
  <c r="CI742" i="3"/>
  <c r="CG742" i="3"/>
  <c r="BS742" i="3"/>
  <c r="BF742" i="3"/>
  <c r="AZ742" i="3"/>
  <c r="AH742" i="3"/>
  <c r="X742" i="3"/>
  <c r="ET741" i="3"/>
  <c r="EO741" i="3"/>
  <c r="EJ741" i="3"/>
  <c r="EE741" i="3"/>
  <c r="DZ741" i="3"/>
  <c r="DU741" i="3"/>
  <c r="DO741" i="3"/>
  <c r="FY741" i="3" s="1"/>
  <c r="DJ741" i="3"/>
  <c r="FT741" i="3" s="1"/>
  <c r="DE741" i="3"/>
  <c r="FO741" i="3" s="1"/>
  <c r="CZ741" i="3"/>
  <c r="FJ741" i="3" s="1"/>
  <c r="CU741" i="3"/>
  <c r="FE741" i="3" s="1"/>
  <c r="CP741" i="3"/>
  <c r="EZ741" i="3" s="1"/>
  <c r="CM741" i="3"/>
  <c r="CK741" i="3"/>
  <c r="CI741" i="3"/>
  <c r="CG741" i="3"/>
  <c r="BS741" i="3"/>
  <c r="BF741" i="3"/>
  <c r="AZ741" i="3"/>
  <c r="AH741" i="3"/>
  <c r="X741" i="3"/>
  <c r="ET740" i="3"/>
  <c r="EO740" i="3"/>
  <c r="EJ740" i="3"/>
  <c r="EE740" i="3"/>
  <c r="DZ740" i="3"/>
  <c r="DU740" i="3"/>
  <c r="DO740" i="3"/>
  <c r="FY740" i="3" s="1"/>
  <c r="DJ740" i="3"/>
  <c r="FT740" i="3" s="1"/>
  <c r="DE740" i="3"/>
  <c r="FO740" i="3" s="1"/>
  <c r="CZ740" i="3"/>
  <c r="FJ740" i="3" s="1"/>
  <c r="CU740" i="3"/>
  <c r="FE740" i="3" s="1"/>
  <c r="CP740" i="3"/>
  <c r="EZ740" i="3" s="1"/>
  <c r="CM740" i="3"/>
  <c r="CK740" i="3"/>
  <c r="CG740" i="3"/>
  <c r="CI740" i="3" s="1"/>
  <c r="BS740" i="3"/>
  <c r="BF740" i="3"/>
  <c r="AZ740" i="3"/>
  <c r="AH740" i="3"/>
  <c r="X740" i="3"/>
  <c r="FO739" i="3"/>
  <c r="ET739" i="3"/>
  <c r="EO739" i="3"/>
  <c r="EJ739" i="3"/>
  <c r="EE739" i="3"/>
  <c r="DZ739" i="3"/>
  <c r="DU739" i="3"/>
  <c r="DO739" i="3"/>
  <c r="FY739" i="3" s="1"/>
  <c r="DJ739" i="3"/>
  <c r="FT739" i="3" s="1"/>
  <c r="DE739" i="3"/>
  <c r="CZ739" i="3"/>
  <c r="FJ739" i="3" s="1"/>
  <c r="CU739" i="3"/>
  <c r="FE739" i="3" s="1"/>
  <c r="CP739" i="3"/>
  <c r="EZ739" i="3" s="1"/>
  <c r="CM739" i="3"/>
  <c r="CK739" i="3"/>
  <c r="CG739" i="3"/>
  <c r="CI739" i="3" s="1"/>
  <c r="BS739" i="3"/>
  <c r="BF739" i="3"/>
  <c r="AZ739" i="3"/>
  <c r="AH739" i="3"/>
  <c r="X739" i="3"/>
  <c r="FJ738" i="3"/>
  <c r="ET738" i="3"/>
  <c r="EO738" i="3"/>
  <c r="EJ738" i="3"/>
  <c r="EE738" i="3"/>
  <c r="DZ738" i="3"/>
  <c r="DU738" i="3"/>
  <c r="DO738" i="3"/>
  <c r="FY738" i="3" s="1"/>
  <c r="DJ738" i="3"/>
  <c r="FT738" i="3" s="1"/>
  <c r="DE738" i="3"/>
  <c r="FO738" i="3" s="1"/>
  <c r="CZ738" i="3"/>
  <c r="CU738" i="3"/>
  <c r="FE738" i="3" s="1"/>
  <c r="CP738" i="3"/>
  <c r="EZ738" i="3" s="1"/>
  <c r="CK738" i="3"/>
  <c r="CM738" i="3" s="1"/>
  <c r="CI738" i="3"/>
  <c r="CG738" i="3"/>
  <c r="BS738" i="3"/>
  <c r="BF738" i="3"/>
  <c r="AZ738" i="3"/>
  <c r="AH738" i="3"/>
  <c r="X738" i="3"/>
  <c r="FY737" i="3"/>
  <c r="FT737" i="3"/>
  <c r="ET737" i="3"/>
  <c r="EO737" i="3"/>
  <c r="EJ737" i="3"/>
  <c r="EE737" i="3"/>
  <c r="DZ737" i="3"/>
  <c r="DU737" i="3"/>
  <c r="DO737" i="3"/>
  <c r="DJ737" i="3"/>
  <c r="DE737" i="3"/>
  <c r="FO737" i="3" s="1"/>
  <c r="CZ737" i="3"/>
  <c r="FJ737" i="3" s="1"/>
  <c r="CU737" i="3"/>
  <c r="FE737" i="3" s="1"/>
  <c r="CP737" i="3"/>
  <c r="EZ737" i="3" s="1"/>
  <c r="CK737" i="3"/>
  <c r="CM737" i="3" s="1"/>
  <c r="CI737" i="3"/>
  <c r="CG737" i="3"/>
  <c r="BS737" i="3"/>
  <c r="BF737" i="3"/>
  <c r="AZ737" i="3"/>
  <c r="AH737" i="3"/>
  <c r="X737" i="3"/>
  <c r="FT736" i="3"/>
  <c r="ET736" i="3"/>
  <c r="EO736" i="3"/>
  <c r="EJ736" i="3"/>
  <c r="EE736" i="3"/>
  <c r="DZ736" i="3"/>
  <c r="DU736" i="3"/>
  <c r="DO736" i="3"/>
  <c r="FY736" i="3" s="1"/>
  <c r="DJ736" i="3"/>
  <c r="DE736" i="3"/>
  <c r="FO736" i="3" s="1"/>
  <c r="CZ736" i="3"/>
  <c r="FJ736" i="3" s="1"/>
  <c r="CU736" i="3"/>
  <c r="FE736" i="3" s="1"/>
  <c r="CP736" i="3"/>
  <c r="EZ736" i="3" s="1"/>
  <c r="CM736" i="3"/>
  <c r="CK736" i="3"/>
  <c r="CG736" i="3"/>
  <c r="CI736" i="3" s="1"/>
  <c r="BS736" i="3"/>
  <c r="BF736" i="3"/>
  <c r="AZ736" i="3"/>
  <c r="AH736" i="3"/>
  <c r="X736" i="3"/>
  <c r="ET735" i="3"/>
  <c r="EO735" i="3"/>
  <c r="EJ735" i="3"/>
  <c r="EE735" i="3"/>
  <c r="DZ735" i="3"/>
  <c r="DU735" i="3"/>
  <c r="DO735" i="3"/>
  <c r="FY735" i="3" s="1"/>
  <c r="DJ735" i="3"/>
  <c r="FT735" i="3" s="1"/>
  <c r="DE735" i="3"/>
  <c r="FO735" i="3" s="1"/>
  <c r="CZ735" i="3"/>
  <c r="FJ735" i="3" s="1"/>
  <c r="CU735" i="3"/>
  <c r="FE735" i="3" s="1"/>
  <c r="CP735" i="3"/>
  <c r="EZ735" i="3" s="1"/>
  <c r="CM735" i="3"/>
  <c r="CK735" i="3"/>
  <c r="CG735" i="3"/>
  <c r="CI735" i="3" s="1"/>
  <c r="BS735" i="3"/>
  <c r="BF735" i="3"/>
  <c r="AZ735" i="3"/>
  <c r="AH735" i="3"/>
  <c r="X735" i="3"/>
  <c r="FJ734" i="3"/>
  <c r="FE734" i="3"/>
  <c r="ET734" i="3"/>
  <c r="EO734" i="3"/>
  <c r="EJ734" i="3"/>
  <c r="EE734" i="3"/>
  <c r="DZ734" i="3"/>
  <c r="DU734" i="3"/>
  <c r="DO734" i="3"/>
  <c r="FY734" i="3" s="1"/>
  <c r="DJ734" i="3"/>
  <c r="FT734" i="3" s="1"/>
  <c r="DE734" i="3"/>
  <c r="FO734" i="3" s="1"/>
  <c r="CZ734" i="3"/>
  <c r="CU734" i="3"/>
  <c r="CP734" i="3"/>
  <c r="EZ734" i="3" s="1"/>
  <c r="CK734" i="3"/>
  <c r="CM734" i="3" s="1"/>
  <c r="CG734" i="3"/>
  <c r="CI734" i="3" s="1"/>
  <c r="BS734" i="3"/>
  <c r="BF734" i="3"/>
  <c r="AZ734" i="3"/>
  <c r="O734" i="3"/>
  <c r="X734" i="3" s="1"/>
  <c r="ET733" i="3"/>
  <c r="EO733" i="3"/>
  <c r="EJ733" i="3"/>
  <c r="EE733" i="3"/>
  <c r="DZ733" i="3"/>
  <c r="DU733" i="3"/>
  <c r="DO733" i="3"/>
  <c r="FY733" i="3" s="1"/>
  <c r="DJ733" i="3"/>
  <c r="FT733" i="3" s="1"/>
  <c r="DE733" i="3"/>
  <c r="FO733" i="3" s="1"/>
  <c r="CZ733" i="3"/>
  <c r="FJ733" i="3" s="1"/>
  <c r="CU733" i="3"/>
  <c r="FE733" i="3" s="1"/>
  <c r="CP733" i="3"/>
  <c r="EZ733" i="3" s="1"/>
  <c r="CK733" i="3"/>
  <c r="CM733" i="3" s="1"/>
  <c r="CI733" i="3"/>
  <c r="CG733" i="3"/>
  <c r="BS733" i="3"/>
  <c r="BF733" i="3"/>
  <c r="AZ733" i="3"/>
  <c r="O733" i="3"/>
  <c r="X733" i="3" s="1"/>
  <c r="AH733" i="3" s="1"/>
  <c r="FY732" i="3"/>
  <c r="ET732" i="3"/>
  <c r="EO732" i="3"/>
  <c r="EJ732" i="3"/>
  <c r="EE732" i="3"/>
  <c r="DZ732" i="3"/>
  <c r="DU732" i="3"/>
  <c r="DO732" i="3"/>
  <c r="DJ732" i="3"/>
  <c r="FT732" i="3" s="1"/>
  <c r="DE732" i="3"/>
  <c r="FO732" i="3" s="1"/>
  <c r="CZ732" i="3"/>
  <c r="FJ732" i="3" s="1"/>
  <c r="CU732" i="3"/>
  <c r="FE732" i="3" s="1"/>
  <c r="CP732" i="3"/>
  <c r="EZ732" i="3" s="1"/>
  <c r="CK732" i="3"/>
  <c r="CM732" i="3" s="1"/>
  <c r="CI732" i="3"/>
  <c r="CG732" i="3"/>
  <c r="BS732" i="3"/>
  <c r="BF732" i="3"/>
  <c r="AZ732" i="3"/>
  <c r="O732" i="3"/>
  <c r="X732" i="3" s="1"/>
  <c r="AH732" i="3" s="1"/>
  <c r="FJ731" i="3"/>
  <c r="FE731" i="3"/>
  <c r="ET731" i="3"/>
  <c r="EO731" i="3"/>
  <c r="EJ731" i="3"/>
  <c r="EE731" i="3"/>
  <c r="DZ731" i="3"/>
  <c r="DU731" i="3"/>
  <c r="DO731" i="3"/>
  <c r="FY731" i="3" s="1"/>
  <c r="DJ731" i="3"/>
  <c r="FT731" i="3" s="1"/>
  <c r="DE731" i="3"/>
  <c r="FO731" i="3" s="1"/>
  <c r="CZ731" i="3"/>
  <c r="CU731" i="3"/>
  <c r="CP731" i="3"/>
  <c r="EZ731" i="3" s="1"/>
  <c r="CK731" i="3"/>
  <c r="CM731" i="3" s="1"/>
  <c r="CI731" i="3"/>
  <c r="CG731" i="3"/>
  <c r="BS731" i="3"/>
  <c r="BF731" i="3"/>
  <c r="AZ731" i="3"/>
  <c r="O731" i="3"/>
  <c r="X731" i="3" s="1"/>
  <c r="ET730" i="3"/>
  <c r="EO730" i="3"/>
  <c r="EJ730" i="3"/>
  <c r="EE730" i="3"/>
  <c r="DZ730" i="3"/>
  <c r="DU730" i="3"/>
  <c r="DO730" i="3"/>
  <c r="FY730" i="3" s="1"/>
  <c r="DJ730" i="3"/>
  <c r="FT730" i="3" s="1"/>
  <c r="DE730" i="3"/>
  <c r="FO730" i="3" s="1"/>
  <c r="CZ730" i="3"/>
  <c r="FJ730" i="3" s="1"/>
  <c r="CU730" i="3"/>
  <c r="CP730" i="3"/>
  <c r="EZ730" i="3" s="1"/>
  <c r="CK730" i="3"/>
  <c r="CM730" i="3" s="1"/>
  <c r="CI730" i="3"/>
  <c r="CG730" i="3"/>
  <c r="BS730" i="3"/>
  <c r="BF730" i="3"/>
  <c r="AZ730" i="3"/>
  <c r="O730" i="3"/>
  <c r="X730" i="3" s="1"/>
  <c r="AH730" i="3" s="1"/>
  <c r="ET729" i="3"/>
  <c r="EO729" i="3"/>
  <c r="EJ729" i="3"/>
  <c r="EE729" i="3"/>
  <c r="DZ729" i="3"/>
  <c r="DU729" i="3"/>
  <c r="DO729" i="3"/>
  <c r="FY729" i="3" s="1"/>
  <c r="DJ729" i="3"/>
  <c r="FT729" i="3" s="1"/>
  <c r="ER646" i="3" s="1"/>
  <c r="DE729" i="3"/>
  <c r="FO729" i="3" s="1"/>
  <c r="CZ729" i="3"/>
  <c r="FJ729" i="3" s="1"/>
  <c r="CU729" i="3"/>
  <c r="FE729" i="3" s="1"/>
  <c r="CP729" i="3"/>
  <c r="EZ729" i="3" s="1"/>
  <c r="CK729" i="3"/>
  <c r="CM729" i="3" s="1"/>
  <c r="CI729" i="3"/>
  <c r="CG729" i="3"/>
  <c r="BS729" i="3"/>
  <c r="BF729" i="3"/>
  <c r="AZ729" i="3"/>
  <c r="O729" i="3"/>
  <c r="X729" i="3" s="1"/>
  <c r="AH729" i="3" s="1"/>
  <c r="FJ728" i="3"/>
  <c r="ET728" i="3"/>
  <c r="EO728" i="3"/>
  <c r="EJ728" i="3"/>
  <c r="EE728" i="3"/>
  <c r="DZ728" i="3"/>
  <c r="DU728" i="3"/>
  <c r="DO728" i="3"/>
  <c r="FY728" i="3" s="1"/>
  <c r="DJ728" i="3"/>
  <c r="FT728" i="3" s="1"/>
  <c r="ER645" i="3" s="1"/>
  <c r="DE728" i="3"/>
  <c r="FO728" i="3" s="1"/>
  <c r="CZ728" i="3"/>
  <c r="CU728" i="3"/>
  <c r="FE728" i="3" s="1"/>
  <c r="CP728" i="3"/>
  <c r="EZ728" i="3" s="1"/>
  <c r="CK728" i="3"/>
  <c r="CM728" i="3" s="1"/>
  <c r="CI728" i="3"/>
  <c r="CG728" i="3"/>
  <c r="BS728" i="3"/>
  <c r="BF728" i="3"/>
  <c r="AZ728" i="3"/>
  <c r="O728" i="3"/>
  <c r="X728" i="3" s="1"/>
  <c r="AH728" i="3" s="1"/>
  <c r="FJ727" i="3"/>
  <c r="ET727" i="3"/>
  <c r="EO727" i="3"/>
  <c r="EJ727" i="3"/>
  <c r="EE727" i="3"/>
  <c r="DZ727" i="3"/>
  <c r="DU727" i="3"/>
  <c r="DO727" i="3"/>
  <c r="FY727" i="3" s="1"/>
  <c r="DJ727" i="3"/>
  <c r="FT727" i="3" s="1"/>
  <c r="DE727" i="3"/>
  <c r="FO727" i="3" s="1"/>
  <c r="CZ727" i="3"/>
  <c r="CU727" i="3"/>
  <c r="FE727" i="3" s="1"/>
  <c r="CP727" i="3"/>
  <c r="EZ727" i="3" s="1"/>
  <c r="CK727" i="3"/>
  <c r="CM727" i="3" s="1"/>
  <c r="CI727" i="3"/>
  <c r="CG727" i="3"/>
  <c r="BS727" i="3"/>
  <c r="BF727" i="3"/>
  <c r="AZ727" i="3"/>
  <c r="O727" i="3"/>
  <c r="X727" i="3" s="1"/>
  <c r="AH727" i="3" s="1"/>
  <c r="ET726" i="3"/>
  <c r="EO726" i="3"/>
  <c r="EO761" i="3" s="1"/>
  <c r="EJ726" i="3"/>
  <c r="EE726" i="3"/>
  <c r="EE761" i="3" s="1"/>
  <c r="DZ726" i="3"/>
  <c r="DU726" i="3"/>
  <c r="DO726" i="3"/>
  <c r="FY726" i="3" s="1"/>
  <c r="DJ726" i="3"/>
  <c r="DJ761" i="3" s="1"/>
  <c r="ER648" i="3" s="1"/>
  <c r="DE726" i="3"/>
  <c r="CZ726" i="3"/>
  <c r="CU726" i="3"/>
  <c r="CP726" i="3"/>
  <c r="CK726" i="3"/>
  <c r="CM726" i="3" s="1"/>
  <c r="CI726" i="3"/>
  <c r="CG726" i="3"/>
  <c r="BS726" i="3"/>
  <c r="BF726" i="3"/>
  <c r="AZ726" i="3"/>
  <c r="O726" i="3"/>
  <c r="W708" i="3"/>
  <c r="Z691" i="3"/>
  <c r="G691" i="3"/>
  <c r="Z683" i="3"/>
  <c r="G683" i="3"/>
  <c r="Z675" i="3"/>
  <c r="G675" i="3"/>
  <c r="Z667" i="3"/>
  <c r="G667" i="3"/>
  <c r="ER661" i="3"/>
  <c r="Z659" i="3"/>
  <c r="G659" i="3"/>
  <c r="Z651" i="3"/>
  <c r="G651" i="3"/>
  <c r="AO647" i="3"/>
  <c r="AO649" i="3" s="1"/>
  <c r="AT646" i="3"/>
  <c r="AT645" i="3"/>
  <c r="AT644" i="3"/>
  <c r="AT643" i="3"/>
  <c r="AT642" i="3"/>
  <c r="AT641" i="3"/>
  <c r="AT640" i="3"/>
  <c r="AT639" i="3"/>
  <c r="AT638" i="3"/>
  <c r="AT637" i="3"/>
  <c r="AT636" i="3"/>
  <c r="Z617" i="3"/>
  <c r="G617" i="3"/>
  <c r="Z609" i="3"/>
  <c r="G609" i="3"/>
  <c r="Z601" i="3"/>
  <c r="G601" i="3"/>
  <c r="Z593" i="3"/>
  <c r="G593" i="3"/>
  <c r="Z585" i="3"/>
  <c r="G585" i="3"/>
  <c r="Z576" i="3"/>
  <c r="G576" i="3"/>
  <c r="BI575" i="3"/>
  <c r="BI574" i="3"/>
  <c r="AT573" i="3"/>
  <c r="AT572" i="3"/>
  <c r="AT571" i="3"/>
  <c r="AT570" i="3"/>
  <c r="AT569" i="3"/>
  <c r="AT568" i="3"/>
  <c r="BI567" i="3"/>
  <c r="AT567" i="3"/>
  <c r="BI566" i="3"/>
  <c r="AT566" i="3"/>
  <c r="AT565" i="3"/>
  <c r="AM565" i="3"/>
  <c r="AM574" i="3" s="1"/>
  <c r="AT564" i="3"/>
  <c r="AT563" i="3"/>
  <c r="BI559" i="3"/>
  <c r="BI558" i="3"/>
  <c r="BI551" i="3"/>
  <c r="BI550" i="3"/>
  <c r="BA487" i="3"/>
  <c r="BA486" i="3"/>
  <c r="BA478" i="3"/>
  <c r="BA477" i="3"/>
  <c r="BA470" i="3"/>
  <c r="BA469" i="3"/>
  <c r="BA463" i="3"/>
  <c r="BA462" i="3"/>
  <c r="AG459" i="3"/>
  <c r="BE24" i="3" s="1"/>
  <c r="AG454" i="3"/>
  <c r="AG453" i="3"/>
  <c r="AG450" i="3"/>
  <c r="AF427" i="3"/>
  <c r="W427" i="3"/>
  <c r="BH256" i="3"/>
  <c r="BG250" i="3"/>
  <c r="BG249" i="3"/>
  <c r="BG248" i="3"/>
  <c r="BG247" i="3"/>
  <c r="BG246" i="3"/>
  <c r="BG245" i="3"/>
  <c r="BG243" i="3"/>
  <c r="BG242" i="3"/>
  <c r="BG241" i="3"/>
  <c r="M241" i="3"/>
  <c r="BG239" i="3"/>
  <c r="BG238" i="3"/>
  <c r="BG237" i="3"/>
  <c r="BG236" i="3"/>
  <c r="BG235" i="3"/>
  <c r="Z229" i="3"/>
  <c r="Y229" i="3"/>
  <c r="Y228" i="3"/>
  <c r="Z228" i="3" s="1"/>
  <c r="Z227" i="3"/>
  <c r="Y227" i="3"/>
  <c r="Y226" i="3"/>
  <c r="Z226" i="3" s="1"/>
  <c r="Z225" i="3"/>
  <c r="Y225" i="3"/>
  <c r="T212" i="3"/>
  <c r="BA1051" i="3" s="1"/>
  <c r="I184" i="3"/>
  <c r="BN150" i="3"/>
  <c r="DG122" i="3"/>
  <c r="BE110" i="3"/>
  <c r="BE109" i="3"/>
  <c r="BE108" i="3"/>
  <c r="BE107" i="3"/>
  <c r="BE106" i="3"/>
  <c r="BE105" i="3"/>
  <c r="BE104" i="3"/>
  <c r="BE103" i="3"/>
  <c r="BE102" i="3"/>
  <c r="BE100" i="3"/>
  <c r="BE99" i="3"/>
  <c r="BE98" i="3"/>
  <c r="BE97" i="3"/>
  <c r="BE96" i="3"/>
  <c r="BE95" i="3"/>
  <c r="BE94" i="3"/>
  <c r="BE93" i="3"/>
  <c r="BE92" i="3"/>
  <c r="BE91" i="3"/>
  <c r="BE90" i="3"/>
  <c r="BE89" i="3"/>
  <c r="BE88" i="3"/>
  <c r="BE87" i="3"/>
  <c r="BE86" i="3"/>
  <c r="BE85" i="3"/>
  <c r="BE84" i="3"/>
  <c r="BE77" i="3"/>
  <c r="BE69" i="3"/>
  <c r="BE67" i="3"/>
  <c r="BE66" i="3"/>
  <c r="BE65" i="3"/>
  <c r="BE64" i="3"/>
  <c r="BE63" i="3"/>
  <c r="BE62"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3" i="3"/>
  <c r="BE21" i="3"/>
  <c r="BE18" i="3"/>
  <c r="BE17" i="3"/>
  <c r="BE16" i="3"/>
  <c r="BE5" i="3"/>
  <c r="BE3" i="3"/>
  <c r="D105" i="11" l="1"/>
  <c r="D63" i="11"/>
  <c r="D12" i="11"/>
  <c r="B13" i="11"/>
  <c r="B64" i="11"/>
  <c r="B98" i="11" s="1"/>
  <c r="B106" i="11" s="1"/>
  <c r="C13" i="11"/>
  <c r="D13" i="11" s="1"/>
  <c r="D9" i="11"/>
  <c r="C39" i="11"/>
  <c r="D39" i="11" s="1"/>
  <c r="D26" i="11"/>
  <c r="D27" i="11" s="1"/>
  <c r="D81" i="11"/>
  <c r="D58" i="11"/>
  <c r="D41" i="11"/>
  <c r="D100" i="11"/>
  <c r="C78" i="11"/>
  <c r="D78" i="11" s="1"/>
  <c r="C55" i="11"/>
  <c r="D55" i="11" s="1"/>
  <c r="D84" i="11"/>
  <c r="I15" i="7"/>
  <c r="G22" i="7"/>
  <c r="K58" i="7"/>
  <c r="M53" i="7"/>
  <c r="AA28" i="7"/>
  <c r="U29" i="7"/>
  <c r="U40" i="7"/>
  <c r="U43" i="7" s="1"/>
  <c r="AC28" i="7"/>
  <c r="I6" i="7"/>
  <c r="E11" i="7"/>
  <c r="E22" i="7"/>
  <c r="E35" i="7" s="1"/>
  <c r="G28" i="7"/>
  <c r="AE28" i="7"/>
  <c r="Y29" i="7"/>
  <c r="Y40" i="7"/>
  <c r="Y43" i="7" s="1"/>
  <c r="I58" i="7"/>
  <c r="I28" i="7"/>
  <c r="K28" i="7"/>
  <c r="AC29" i="7"/>
  <c r="AC40" i="7"/>
  <c r="AC43" i="7" s="1"/>
  <c r="M28" i="7"/>
  <c r="G29" i="7"/>
  <c r="AE29" i="7"/>
  <c r="G40" i="7"/>
  <c r="G43" i="7" s="1"/>
  <c r="AE40" i="7"/>
  <c r="AE43" i="7" s="1"/>
  <c r="AG28" i="7"/>
  <c r="G4" i="7"/>
  <c r="O28" i="7"/>
  <c r="I29" i="7"/>
  <c r="AG29" i="7"/>
  <c r="I40" i="7"/>
  <c r="I43" i="7" s="1"/>
  <c r="AG40" i="7"/>
  <c r="AG43" i="7" s="1"/>
  <c r="Q28" i="7"/>
  <c r="K29" i="7"/>
  <c r="K40" i="7"/>
  <c r="K43" i="7" s="1"/>
  <c r="G8" i="7"/>
  <c r="S28" i="7"/>
  <c r="M29" i="7"/>
  <c r="M40" i="7"/>
  <c r="M43" i="7" s="1"/>
  <c r="U28" i="7"/>
  <c r="O29" i="7"/>
  <c r="O40" i="7"/>
  <c r="O43" i="7" s="1"/>
  <c r="W28" i="7"/>
  <c r="Q29" i="7"/>
  <c r="Q40" i="7"/>
  <c r="Q43" i="7" s="1"/>
  <c r="S40" i="7"/>
  <c r="S43" i="7" s="1"/>
  <c r="R22" i="21" a="1"/>
  <c r="R22" i="21" s="1"/>
  <c r="U27" i="21"/>
  <c r="U38" i="21"/>
  <c r="G42" i="21" s="1" a="1"/>
  <c r="G42" i="21" s="1"/>
  <c r="G43" i="21" s="1"/>
  <c r="U39" i="21"/>
  <c r="S32" i="21"/>
  <c r="S33" i="21"/>
  <c r="C39" i="21"/>
  <c r="O50" i="21"/>
  <c r="O51" i="21"/>
  <c r="O52" i="21"/>
  <c r="P53" i="21" a="1"/>
  <c r="P53" i="21" s="1"/>
  <c r="P54" i="21" a="1"/>
  <c r="P54" i="21" s="1"/>
  <c r="R20" i="21" a="1"/>
  <c r="R20" i="21" s="1"/>
  <c r="T23" i="21"/>
  <c r="E28" i="21"/>
  <c r="T28" i="21"/>
  <c r="P50" i="21" a="1"/>
  <c r="P50" i="21" s="1"/>
  <c r="P51" i="21" a="1"/>
  <c r="P51" i="21" s="1"/>
  <c r="P52" i="21" a="1"/>
  <c r="P52" i="21" s="1"/>
  <c r="E105" i="20"/>
  <c r="AP105" i="20" s="1"/>
  <c r="AK108" i="20" s="1"/>
  <c r="T828" i="20" s="1"/>
  <c r="AF828" i="20" s="1"/>
  <c r="I11" i="21"/>
  <c r="I18" i="21" s="1"/>
  <c r="H4" i="21" s="1"/>
  <c r="M18" i="21"/>
  <c r="E24" i="21"/>
  <c r="O40" i="21"/>
  <c r="O42" i="21"/>
  <c r="O43" i="21"/>
  <c r="R50" i="21" a="1"/>
  <c r="R50" i="21" s="1"/>
  <c r="R51" i="21" a="1"/>
  <c r="R51" i="21" s="1"/>
  <c r="R52" i="21" a="1"/>
  <c r="R52" i="21" s="1"/>
  <c r="T20" i="21"/>
  <c r="R26" i="21" a="1"/>
  <c r="R26" i="21" s="1"/>
  <c r="O38" i="21"/>
  <c r="O39" i="21"/>
  <c r="P40" i="21" a="1"/>
  <c r="P40" i="21" s="1"/>
  <c r="P42" i="21" a="1"/>
  <c r="P42" i="21" s="1"/>
  <c r="P43" i="21" a="1"/>
  <c r="P43" i="21" s="1"/>
  <c r="R48" i="21" a="1"/>
  <c r="R48" i="21" s="1"/>
  <c r="R49" i="21" a="1"/>
  <c r="R49" i="21" s="1"/>
  <c r="S53" i="21"/>
  <c r="S54" i="21"/>
  <c r="E25" i="21"/>
  <c r="F25" i="21" s="1"/>
  <c r="G25" i="21" s="1"/>
  <c r="P38" i="21" a="1"/>
  <c r="P38" i="21" s="1"/>
  <c r="P39" i="21" a="1"/>
  <c r="P39" i="21" s="1"/>
  <c r="S50" i="21"/>
  <c r="S51" i="21"/>
  <c r="S52" i="21"/>
  <c r="O34" i="21"/>
  <c r="O35" i="21"/>
  <c r="S48" i="21"/>
  <c r="S49" i="21"/>
  <c r="T50" i="21"/>
  <c r="T51" i="21"/>
  <c r="T52" i="21"/>
  <c r="R27" i="21" a="1"/>
  <c r="R27" i="21" s="1"/>
  <c r="R38" i="21" a="1"/>
  <c r="R38" i="21" s="1"/>
  <c r="R39" i="21" a="1"/>
  <c r="R39" i="21" s="1"/>
  <c r="G165" i="21"/>
  <c r="AK83" i="20"/>
  <c r="T826" i="20"/>
  <c r="AF826" i="20" s="1"/>
  <c r="AB249" i="20"/>
  <c r="AB251" i="20" s="1"/>
  <c r="AB253" i="20" s="1"/>
  <c r="AB259" i="20" s="1"/>
  <c r="AD208" i="20" s="1"/>
  <c r="AD210" i="20" s="1"/>
  <c r="AG267" i="20" s="1"/>
  <c r="AX708" i="20"/>
  <c r="AO708" i="20" s="1"/>
  <c r="AY708" i="20"/>
  <c r="T837" i="20"/>
  <c r="AF837" i="20" s="1"/>
  <c r="T838" i="20"/>
  <c r="AS373" i="20"/>
  <c r="AS375" i="20"/>
  <c r="AS371" i="20" s="1"/>
  <c r="AK482" i="20" s="1"/>
  <c r="T839" i="20" s="1"/>
  <c r="AF839" i="20" s="1"/>
  <c r="BE80" i="3" s="1"/>
  <c r="AW120" i="20"/>
  <c r="AD135" i="20" s="1"/>
  <c r="AW115" i="20"/>
  <c r="E135" i="20" s="1"/>
  <c r="AV121" i="20"/>
  <c r="AW118" i="20" s="1"/>
  <c r="T135" i="20" s="1"/>
  <c r="AD38" i="15"/>
  <c r="AD40" i="15" s="1"/>
  <c r="T26" i="15"/>
  <c r="T28" i="15" s="1"/>
  <c r="T29" i="15" s="1"/>
  <c r="Y64" i="15"/>
  <c r="Y68" i="15" s="1"/>
  <c r="AB54" i="15"/>
  <c r="AB55" i="15" s="1"/>
  <c r="AD68" i="15"/>
  <c r="AH29" i="24"/>
  <c r="AN29" i="24"/>
  <c r="J20" i="24"/>
  <c r="J21" i="24"/>
  <c r="P29" i="24"/>
  <c r="J19" i="24"/>
  <c r="V29" i="24"/>
  <c r="J24" i="24"/>
  <c r="AB29" i="24"/>
  <c r="F54" i="13"/>
  <c r="C70" i="13"/>
  <c r="C38" i="13"/>
  <c r="F70" i="13"/>
  <c r="F38" i="13"/>
  <c r="C96" i="13"/>
  <c r="F104" i="13"/>
  <c r="F96" i="13"/>
  <c r="F63" i="13"/>
  <c r="C12" i="13"/>
  <c r="C63" i="13"/>
  <c r="C97" i="13" s="1"/>
  <c r="C105" i="13" s="1"/>
  <c r="C54" i="13"/>
  <c r="D63" i="13"/>
  <c r="D97" i="13" s="1"/>
  <c r="D105" i="13" s="1"/>
  <c r="R12" i="4"/>
  <c r="S70" i="4"/>
  <c r="C105" i="4"/>
  <c r="S42" i="4"/>
  <c r="T105" i="4"/>
  <c r="T107" i="4" s="1"/>
  <c r="B12" i="4"/>
  <c r="B63" i="4"/>
  <c r="S96" i="4"/>
  <c r="E12" i="4"/>
  <c r="S29" i="4"/>
  <c r="K63" i="4"/>
  <c r="K97" i="4" s="1"/>
  <c r="K105" i="4" s="1"/>
  <c r="G12" i="4"/>
  <c r="M63" i="4"/>
  <c r="M97" i="4" s="1"/>
  <c r="M105" i="4" s="1"/>
  <c r="B42" i="4"/>
  <c r="J12" i="4"/>
  <c r="D63" i="4"/>
  <c r="D97" i="4" s="1"/>
  <c r="D105" i="4" s="1"/>
  <c r="BE68" i="3" s="1"/>
  <c r="R70" i="4"/>
  <c r="S99" i="4"/>
  <c r="S104" i="4" s="1"/>
  <c r="BA1067" i="3" s="1"/>
  <c r="Q63" i="4"/>
  <c r="Q97" i="4" s="1"/>
  <c r="Q105" i="4" s="1"/>
  <c r="R42" i="4"/>
  <c r="R63" i="4" s="1"/>
  <c r="R97" i="4" s="1"/>
  <c r="R105" i="4" s="1"/>
  <c r="AZ1061" i="3"/>
  <c r="EM660" i="3"/>
  <c r="EW656" i="3"/>
  <c r="FY761" i="3"/>
  <c r="CI761" i="3"/>
  <c r="EH667" i="3"/>
  <c r="EM673" i="3"/>
  <c r="O761" i="3"/>
  <c r="X726" i="3"/>
  <c r="AH726" i="3" s="1"/>
  <c r="ER658" i="3"/>
  <c r="EH670" i="3"/>
  <c r="EH674" i="3"/>
  <c r="EM656" i="3"/>
  <c r="BF761" i="3"/>
  <c r="DU761" i="3"/>
  <c r="ER650" i="3"/>
  <c r="ER654" i="3"/>
  <c r="ER657" i="3"/>
  <c r="EH664" i="3"/>
  <c r="ER670" i="3"/>
  <c r="DX673" i="3"/>
  <c r="ER674" i="3"/>
  <c r="ER677" i="3"/>
  <c r="DE785" i="3"/>
  <c r="DI786" i="3" s="1"/>
  <c r="EE805" i="3"/>
  <c r="BS761" i="3"/>
  <c r="DZ761" i="3"/>
  <c r="ER656" i="3"/>
  <c r="EW657" i="3"/>
  <c r="DX662" i="3"/>
  <c r="DU785" i="3"/>
  <c r="EJ805" i="3"/>
  <c r="AY1033" i="3"/>
  <c r="AF1026" i="3" s="1"/>
  <c r="DX644" i="3"/>
  <c r="EH644" i="3"/>
  <c r="EM645" i="3"/>
  <c r="ER653" i="3"/>
  <c r="ER655" i="3"/>
  <c r="ER664" i="3"/>
  <c r="ER669" i="3"/>
  <c r="EH677" i="3"/>
  <c r="DU786" i="3"/>
  <c r="DX663" i="3"/>
  <c r="EJ761" i="3"/>
  <c r="EM654" i="3"/>
  <c r="EW655" i="3"/>
  <c r="DX661" i="3"/>
  <c r="DX676" i="3"/>
  <c r="CT806" i="3"/>
  <c r="DU807" i="3"/>
  <c r="BE6" i="3"/>
  <c r="EW645" i="3"/>
  <c r="ER649" i="3"/>
  <c r="DX651" i="3"/>
  <c r="ER673" i="3"/>
  <c r="DO761" i="3"/>
  <c r="EW650" i="3" s="1"/>
  <c r="DX664" i="3"/>
  <c r="CM761" i="3"/>
  <c r="X1061" i="3" s="1"/>
  <c r="ET761" i="3"/>
  <c r="DX647" i="3"/>
  <c r="EH651" i="3"/>
  <c r="DX660" i="3"/>
  <c r="EH661" i="3"/>
  <c r="ER662" i="3"/>
  <c r="ER668" i="3"/>
  <c r="CZ805" i="3"/>
  <c r="DD806" i="3" s="1"/>
  <c r="DN763" i="3"/>
  <c r="CP761" i="3"/>
  <c r="DX670" i="3" s="1"/>
  <c r="ER644" i="3"/>
  <c r="FE730" i="3"/>
  <c r="AH731" i="3"/>
  <c r="EW653" i="3"/>
  <c r="DX659" i="3"/>
  <c r="EW662" i="3"/>
  <c r="DX666" i="3"/>
  <c r="EW668" i="3"/>
  <c r="CU805" i="3"/>
  <c r="CY806" i="3" s="1"/>
  <c r="DO805" i="3"/>
  <c r="AC892" i="3"/>
  <c r="AC894" i="3" s="1"/>
  <c r="CU761" i="3"/>
  <c r="EC660" i="3" s="1"/>
  <c r="EW644" i="3"/>
  <c r="ER667" i="3"/>
  <c r="ER672" i="3"/>
  <c r="EH675" i="3"/>
  <c r="ER676" i="3"/>
  <c r="R998" i="3"/>
  <c r="R997" i="3"/>
  <c r="R996" i="3"/>
  <c r="R999" i="3"/>
  <c r="R995" i="3"/>
  <c r="CZ761" i="3"/>
  <c r="EH673" i="3" s="1"/>
  <c r="EM647" i="3"/>
  <c r="DX650" i="3"/>
  <c r="ER651" i="3"/>
  <c r="ER652" i="3"/>
  <c r="EH658" i="3"/>
  <c r="EH659" i="3"/>
  <c r="EW667" i="3"/>
  <c r="EW672" i="3"/>
  <c r="DX674" i="3"/>
  <c r="EM675" i="3"/>
  <c r="EW676" i="3"/>
  <c r="DE805" i="3"/>
  <c r="DI806" i="3" s="1"/>
  <c r="BG252" i="3"/>
  <c r="BO254" i="3" s="1"/>
  <c r="T276" i="3" s="1"/>
  <c r="DE761" i="3"/>
  <c r="EM672" i="3" s="1"/>
  <c r="DX646" i="3"/>
  <c r="ER647" i="3"/>
  <c r="AH734" i="3"/>
  <c r="EW651" i="3"/>
  <c r="EM658" i="3"/>
  <c r="EM659" i="3"/>
  <c r="ER660" i="3"/>
  <c r="ER671" i="3"/>
  <c r="ER675" i="3"/>
  <c r="DJ805" i="3"/>
  <c r="DN806" i="3" s="1"/>
  <c r="EO795" i="3"/>
  <c r="EO805" i="3" s="1"/>
  <c r="DZ795" i="3"/>
  <c r="DZ805" i="3" s="1"/>
  <c r="DU796" i="3"/>
  <c r="DU805" i="3" s="1"/>
  <c r="ET807" i="3" s="1"/>
  <c r="AF1023" i="3"/>
  <c r="EZ726" i="3"/>
  <c r="FE726" i="3"/>
  <c r="AY1012" i="3"/>
  <c r="FJ726" i="3"/>
  <c r="FO726" i="3"/>
  <c r="BD1060" i="3" a="1"/>
  <c r="BD1060" i="3" s="1"/>
  <c r="FT726" i="3"/>
  <c r="Z817" i="3"/>
  <c r="BE82" i="3"/>
  <c r="BE79" i="3"/>
  <c r="C64" i="11" l="1"/>
  <c r="E37" i="7"/>
  <c r="O53" i="7"/>
  <c r="M58" i="7"/>
  <c r="G5" i="7"/>
  <c r="I4" i="7"/>
  <c r="G35" i="7"/>
  <c r="I8" i="7"/>
  <c r="G9" i="7"/>
  <c r="G11" i="7" s="1"/>
  <c r="G37" i="7" s="1"/>
  <c r="K6" i="7"/>
  <c r="I7" i="7"/>
  <c r="K15" i="7"/>
  <c r="I22" i="7"/>
  <c r="I35" i="7" s="1"/>
  <c r="O24" i="21"/>
  <c r="P24" i="21" s="1" a="1"/>
  <c r="P24" i="21" s="1"/>
  <c r="S24" i="21" s="1"/>
  <c r="O21" i="21"/>
  <c r="P21" i="21" s="1" a="1"/>
  <c r="P21" i="21" s="1"/>
  <c r="S21" i="21" s="1"/>
  <c r="O22" i="21"/>
  <c r="P22" i="21" s="1" a="1"/>
  <c r="P22" i="21" s="1"/>
  <c r="O23" i="21"/>
  <c r="P23" i="21" s="1" a="1"/>
  <c r="P23" i="21" s="1"/>
  <c r="S23" i="21" s="1"/>
  <c r="O25" i="21"/>
  <c r="P25" i="21" s="1" a="1"/>
  <c r="P25" i="21" s="1"/>
  <c r="S25" i="21" s="1"/>
  <c r="O27" i="21"/>
  <c r="P27" i="21" s="1" a="1"/>
  <c r="P27" i="21" s="1"/>
  <c r="O28" i="21"/>
  <c r="P28" i="21" s="1" a="1"/>
  <c r="P28" i="21" s="1"/>
  <c r="S28" i="21" s="1"/>
  <c r="O20" i="21"/>
  <c r="P20" i="21" s="1" a="1"/>
  <c r="P20" i="21" s="1"/>
  <c r="S20" i="21" s="1"/>
  <c r="O26" i="21"/>
  <c r="P26" i="21" s="1" a="1"/>
  <c r="P26" i="21" s="1"/>
  <c r="S26" i="21" s="1"/>
  <c r="S27" i="21"/>
  <c r="F24" i="21"/>
  <c r="E29" i="21"/>
  <c r="S22" i="21"/>
  <c r="T18" i="21"/>
  <c r="G60" i="21" s="1"/>
  <c r="AW119" i="20"/>
  <c r="Y135" i="20" s="1"/>
  <c r="AP719" i="20"/>
  <c r="AP718" i="20"/>
  <c r="AW116" i="20"/>
  <c r="J135" i="20" s="1"/>
  <c r="E137" i="20" s="1"/>
  <c r="E138" i="20" s="1"/>
  <c r="AK142" i="20" s="1"/>
  <c r="T829" i="20" s="1"/>
  <c r="AF829" i="20" s="1"/>
  <c r="AW117" i="20"/>
  <c r="O135" i="20" s="1"/>
  <c r="BE71" i="3"/>
  <c r="AG269" i="20"/>
  <c r="AK272" i="20" s="1"/>
  <c r="T834" i="20" s="1"/>
  <c r="AK190" i="20"/>
  <c r="T833" i="20" s="1"/>
  <c r="AF833" i="20" s="1"/>
  <c r="BE76" i="3" s="1"/>
  <c r="T827" i="20"/>
  <c r="AF827" i="20" s="1"/>
  <c r="BE72" i="3" s="1"/>
  <c r="AW121" i="20"/>
  <c r="Y69" i="15"/>
  <c r="Y38" i="15"/>
  <c r="Y40" i="15" s="1"/>
  <c r="Y41" i="15" s="1"/>
  <c r="AB56" i="15" s="1"/>
  <c r="AB57" i="15" s="1"/>
  <c r="AT21" i="24"/>
  <c r="J29" i="24"/>
  <c r="BB6" i="24" a="1"/>
  <c r="BB6" i="24" s="1"/>
  <c r="BB4" i="24" a="1"/>
  <c r="BB4" i="24" s="1"/>
  <c r="BB5" i="24" a="1"/>
  <c r="BB5" i="24" s="1"/>
  <c r="AT24" i="24"/>
  <c r="F97" i="13"/>
  <c r="F105" i="13" s="1"/>
  <c r="F107" i="13" s="1"/>
  <c r="S38" i="4"/>
  <c r="S63" i="4" s="1"/>
  <c r="S97" i="4" s="1"/>
  <c r="B105" i="4"/>
  <c r="BE101" i="3"/>
  <c r="AC464" i="3"/>
  <c r="B97" i="4"/>
  <c r="EC651" i="3"/>
  <c r="Y809" i="3"/>
  <c r="Z826" i="3" s="1"/>
  <c r="Y808" i="3"/>
  <c r="EC645" i="3"/>
  <c r="FO761" i="3"/>
  <c r="EM643" i="3"/>
  <c r="EM677" i="3"/>
  <c r="EH653" i="3"/>
  <c r="EM655" i="3"/>
  <c r="EM674" i="3"/>
  <c r="EM665" i="3"/>
  <c r="EW659" i="3"/>
  <c r="DX654" i="3"/>
  <c r="EW658" i="3"/>
  <c r="CU810" i="3"/>
  <c r="AB996" i="3" s="1"/>
  <c r="CY763" i="3"/>
  <c r="EC674" i="3"/>
  <c r="EC652" i="3"/>
  <c r="EC677" i="3"/>
  <c r="EC670" i="3"/>
  <c r="EC675" i="3"/>
  <c r="EC649" i="3"/>
  <c r="FT761" i="3"/>
  <c r="ER643" i="3"/>
  <c r="ER678" i="3" s="1"/>
  <c r="EC646" i="3"/>
  <c r="EM649" i="3"/>
  <c r="EM670" i="3"/>
  <c r="EC663" i="3"/>
  <c r="EC658" i="3"/>
  <c r="DX645" i="3"/>
  <c r="EH650" i="3"/>
  <c r="EC650" i="3"/>
  <c r="EC666" i="3"/>
  <c r="DJ810" i="3"/>
  <c r="EM644" i="3"/>
  <c r="DS763" i="3"/>
  <c r="EW654" i="3"/>
  <c r="EW652" i="3"/>
  <c r="EW677" i="3"/>
  <c r="EW663" i="3"/>
  <c r="EW661" i="3"/>
  <c r="BE7" i="3"/>
  <c r="EH648" i="3"/>
  <c r="EC669" i="3"/>
  <c r="EW660" i="3"/>
  <c r="X1057" i="3"/>
  <c r="BA1048" i="3"/>
  <c r="BA1057" i="3" s="1" a="1"/>
  <c r="BA1057" i="3" s="1"/>
  <c r="EW675" i="3"/>
  <c r="EH647" i="3"/>
  <c r="EC668" i="3"/>
  <c r="FJ761" i="3"/>
  <c r="EH643" i="3"/>
  <c r="EH660" i="3"/>
  <c r="EH652" i="3"/>
  <c r="EC676" i="3"/>
  <c r="BE8" i="3"/>
  <c r="BE9" i="3" s="1"/>
  <c r="DX672" i="3"/>
  <c r="EC644" i="3"/>
  <c r="EH654" i="3"/>
  <c r="BT752" i="3"/>
  <c r="BU752" i="3" s="1"/>
  <c r="BT740" i="3"/>
  <c r="BU740" i="3" s="1"/>
  <c r="BT757" i="3"/>
  <c r="BU757" i="3" s="1"/>
  <c r="BT745" i="3"/>
  <c r="BU745" i="3" s="1"/>
  <c r="BT750" i="3"/>
  <c r="BU750" i="3" s="1"/>
  <c r="BT738" i="3"/>
  <c r="BU738" i="3" s="1"/>
  <c r="BT733" i="3"/>
  <c r="BU733" i="3" s="1"/>
  <c r="BT730" i="3"/>
  <c r="BU730" i="3" s="1"/>
  <c r="BT727" i="3"/>
  <c r="BU727" i="3" s="1"/>
  <c r="BT755" i="3"/>
  <c r="BU755" i="3" s="1"/>
  <c r="BT743" i="3"/>
  <c r="BU743" i="3" s="1"/>
  <c r="BT760" i="3"/>
  <c r="BU760" i="3" s="1"/>
  <c r="BT748" i="3"/>
  <c r="BU748" i="3" s="1"/>
  <c r="BT736" i="3"/>
  <c r="BU736" i="3" s="1"/>
  <c r="BT753" i="3"/>
  <c r="BU753" i="3" s="1"/>
  <c r="BT741" i="3"/>
  <c r="BU741" i="3" s="1"/>
  <c r="BT751" i="3"/>
  <c r="BU751" i="3" s="1"/>
  <c r="BT739" i="3"/>
  <c r="BU739" i="3" s="1"/>
  <c r="BT756" i="3"/>
  <c r="BU756" i="3" s="1"/>
  <c r="BT744" i="3"/>
  <c r="BU744" i="3" s="1"/>
  <c r="BT749" i="3"/>
  <c r="BU749" i="3" s="1"/>
  <c r="BT737" i="3"/>
  <c r="BU737" i="3" s="1"/>
  <c r="BT754" i="3"/>
  <c r="BU754" i="3" s="1"/>
  <c r="BT732" i="3"/>
  <c r="BU732" i="3" s="1"/>
  <c r="BT746" i="3"/>
  <c r="BU746" i="3" s="1"/>
  <c r="BT728" i="3"/>
  <c r="BU728" i="3" s="1"/>
  <c r="BT731" i="3"/>
  <c r="BU731" i="3" s="1"/>
  <c r="BT747" i="3"/>
  <c r="BU747" i="3" s="1"/>
  <c r="BT729" i="3"/>
  <c r="BU729" i="3" s="1"/>
  <c r="BT758" i="3"/>
  <c r="BU758" i="3" s="1"/>
  <c r="BT742" i="3"/>
  <c r="BU742" i="3" s="1"/>
  <c r="BT726" i="3"/>
  <c r="BT734" i="3"/>
  <c r="BU734" i="3" s="1"/>
  <c r="BT759" i="3"/>
  <c r="BU759" i="3" s="1"/>
  <c r="BT735" i="3"/>
  <c r="BU735" i="3" s="1"/>
  <c r="EW649" i="3"/>
  <c r="EW666" i="3"/>
  <c r="DX669" i="3"/>
  <c r="EC672" i="3"/>
  <c r="I1057" i="3"/>
  <c r="I1061" i="3"/>
  <c r="AY1015" i="3" s="1"/>
  <c r="CZ810" i="3"/>
  <c r="AB997" i="3" s="1"/>
  <c r="AJ997" i="3" s="1"/>
  <c r="DD763" i="3"/>
  <c r="EH671" i="3"/>
  <c r="EH669" i="3"/>
  <c r="EC659" i="3"/>
  <c r="EH676" i="3"/>
  <c r="AG1058" i="3"/>
  <c r="EW669" i="3"/>
  <c r="DX649" i="3"/>
  <c r="EC664" i="3"/>
  <c r="EH657" i="3"/>
  <c r="EW643" i="3"/>
  <c r="EW678" i="3" s="1"/>
  <c r="DX665" i="3"/>
  <c r="DX657" i="3"/>
  <c r="EC665" i="3"/>
  <c r="FE761" i="3"/>
  <c r="EC643" i="3"/>
  <c r="DE810" i="3"/>
  <c r="AB998" i="3" s="1"/>
  <c r="DI763" i="3"/>
  <c r="EM666" i="3"/>
  <c r="EM671" i="3"/>
  <c r="EM664" i="3"/>
  <c r="EM648" i="3"/>
  <c r="EM650" i="3"/>
  <c r="EM667" i="3"/>
  <c r="EM669" i="3"/>
  <c r="EM662" i="3"/>
  <c r="EM652" i="3"/>
  <c r="DS806" i="3"/>
  <c r="DU808" i="3" s="1"/>
  <c r="DO810" i="3"/>
  <c r="AB999" i="3" s="1"/>
  <c r="EC647" i="3"/>
  <c r="EW673" i="3"/>
  <c r="EM668" i="3"/>
  <c r="DX667" i="3"/>
  <c r="EC653" i="3"/>
  <c r="EW674" i="3"/>
  <c r="EM646" i="3"/>
  <c r="EH663" i="3"/>
  <c r="EH655" i="3"/>
  <c r="EH668" i="3"/>
  <c r="EC662" i="3"/>
  <c r="EW671" i="3"/>
  <c r="AJ998" i="3"/>
  <c r="AJ999" i="3"/>
  <c r="EM651" i="3"/>
  <c r="EH672" i="3"/>
  <c r="EC667" i="3"/>
  <c r="EW664" i="3"/>
  <c r="EH649" i="3"/>
  <c r="EC673" i="3"/>
  <c r="EH645" i="3"/>
  <c r="EM657" i="3"/>
  <c r="DX655" i="3"/>
  <c r="DX658" i="3"/>
  <c r="DX652" i="3"/>
  <c r="DX643" i="3"/>
  <c r="DX678" i="3" s="1"/>
  <c r="EZ761" i="3"/>
  <c r="EH665" i="3"/>
  <c r="AJ996" i="3"/>
  <c r="EW648" i="3"/>
  <c r="EM676" i="3"/>
  <c r="CP810" i="3"/>
  <c r="AB995" i="3" s="1"/>
  <c r="AB1000" i="3" s="1"/>
  <c r="CT763" i="3"/>
  <c r="DU763" i="3" s="1"/>
  <c r="DO762" i="3"/>
  <c r="DX677" i="3"/>
  <c r="DX675" i="3"/>
  <c r="DX656" i="3"/>
  <c r="DX671" i="3"/>
  <c r="EC661" i="3"/>
  <c r="EH662" i="3"/>
  <c r="EC648" i="3"/>
  <c r="DX668" i="3"/>
  <c r="EC655" i="3"/>
  <c r="EW647" i="3"/>
  <c r="EC654" i="3"/>
  <c r="EH656" i="3"/>
  <c r="EW665" i="3"/>
  <c r="EC656" i="3"/>
  <c r="EC657" i="3"/>
  <c r="EH666" i="3"/>
  <c r="EC671" i="3"/>
  <c r="EM653" i="3"/>
  <c r="EM661" i="3"/>
  <c r="DX648" i="3"/>
  <c r="EM663" i="3"/>
  <c r="BG749" i="3"/>
  <c r="BH749" i="3" s="1"/>
  <c r="BG737" i="3"/>
  <c r="BH737" i="3" s="1"/>
  <c r="BG754" i="3"/>
  <c r="BH754" i="3" s="1"/>
  <c r="BG742" i="3"/>
  <c r="BH742" i="3" s="1"/>
  <c r="BG732" i="3"/>
  <c r="BH732" i="3" s="1"/>
  <c r="BG729" i="3"/>
  <c r="BH729" i="3" s="1"/>
  <c r="BG726" i="3"/>
  <c r="BG759" i="3"/>
  <c r="BH759" i="3" s="1"/>
  <c r="BG747" i="3"/>
  <c r="BH747" i="3" s="1"/>
  <c r="BG735" i="3"/>
  <c r="BH735" i="3" s="1"/>
  <c r="BG752" i="3"/>
  <c r="BH752" i="3" s="1"/>
  <c r="BG740" i="3"/>
  <c r="BH740" i="3" s="1"/>
  <c r="BG757" i="3"/>
  <c r="BH757" i="3" s="1"/>
  <c r="BG745" i="3"/>
  <c r="BH745" i="3" s="1"/>
  <c r="BG750" i="3"/>
  <c r="BH750" i="3" s="1"/>
  <c r="BG738" i="3"/>
  <c r="BH738" i="3" s="1"/>
  <c r="BG733" i="3"/>
  <c r="BH733" i="3" s="1"/>
  <c r="BG730" i="3"/>
  <c r="BH730" i="3" s="1"/>
  <c r="BG727" i="3"/>
  <c r="BH727" i="3" s="1"/>
  <c r="BG760" i="3"/>
  <c r="BH760" i="3" s="1"/>
  <c r="BG748" i="3"/>
  <c r="BH748" i="3" s="1"/>
  <c r="BG736" i="3"/>
  <c r="BH736" i="3" s="1"/>
  <c r="BG753" i="3"/>
  <c r="BH753" i="3" s="1"/>
  <c r="BG741" i="3"/>
  <c r="BH741" i="3" s="1"/>
  <c r="BG758" i="3"/>
  <c r="BH758" i="3" s="1"/>
  <c r="BG746" i="3"/>
  <c r="BH746" i="3" s="1"/>
  <c r="BG734" i="3"/>
  <c r="BH734" i="3" s="1"/>
  <c r="BG731" i="3"/>
  <c r="BH731" i="3" s="1"/>
  <c r="BG728" i="3"/>
  <c r="BH728" i="3" s="1"/>
  <c r="BG751" i="3"/>
  <c r="BH751" i="3" s="1"/>
  <c r="BG756" i="3"/>
  <c r="BH756" i="3" s="1"/>
  <c r="BG739" i="3"/>
  <c r="BH739" i="3" s="1"/>
  <c r="BG743" i="3"/>
  <c r="BH743" i="3" s="1"/>
  <c r="BG755" i="3"/>
  <c r="BH755" i="3" s="1"/>
  <c r="BG744" i="3"/>
  <c r="BH744" i="3" s="1"/>
  <c r="EH646" i="3"/>
  <c r="EW646" i="3"/>
  <c r="EW670" i="3"/>
  <c r="DX653" i="3"/>
  <c r="D64" i="11" l="1"/>
  <c r="C98" i="11"/>
  <c r="G45" i="7"/>
  <c r="G49" i="7"/>
  <c r="M15" i="7"/>
  <c r="K22" i="7"/>
  <c r="K35" i="7" s="1"/>
  <c r="I5" i="7"/>
  <c r="K4" i="7"/>
  <c r="K8" i="7"/>
  <c r="I9" i="7"/>
  <c r="I11" i="7" s="1"/>
  <c r="I37" i="7" s="1"/>
  <c r="Q53" i="7"/>
  <c r="O58" i="7"/>
  <c r="K7" i="7"/>
  <c r="M6" i="7"/>
  <c r="E49" i="7"/>
  <c r="E45" i="7"/>
  <c r="G45" i="21"/>
  <c r="G47" i="21" s="1"/>
  <c r="E10" i="21" s="1"/>
  <c r="G52" i="21"/>
  <c r="G54" i="21" s="1"/>
  <c r="G56" i="21" s="1"/>
  <c r="E12" i="21" s="1"/>
  <c r="F28" i="21"/>
  <c r="G28" i="21" s="1"/>
  <c r="G61" i="21"/>
  <c r="G63" i="21" s="1"/>
  <c r="G65" i="21" s="1"/>
  <c r="E13" i="21" s="1"/>
  <c r="E11" i="21" s="1"/>
  <c r="F27" i="21"/>
  <c r="G24" i="21"/>
  <c r="AF843" i="20"/>
  <c r="AB59" i="15"/>
  <c r="AB77" i="15" s="1"/>
  <c r="AB78" i="15"/>
  <c r="AB79" i="15" s="1"/>
  <c r="AB81" i="15" s="1"/>
  <c r="J82" i="15" s="1"/>
  <c r="AT29" i="24"/>
  <c r="AT27" i="24"/>
  <c r="AY39" i="24"/>
  <c r="AT26" i="24"/>
  <c r="AY45" i="24"/>
  <c r="AT25" i="24"/>
  <c r="AY40" i="24"/>
  <c r="AY47" i="24"/>
  <c r="AY36" i="24"/>
  <c r="AY41" i="24"/>
  <c r="AT22" i="24"/>
  <c r="AT23" i="24"/>
  <c r="AY37" i="24"/>
  <c r="AY42" i="24"/>
  <c r="AY46" i="24"/>
  <c r="AY43" i="24"/>
  <c r="AT28" i="24"/>
  <c r="AY44" i="24"/>
  <c r="AY38" i="24"/>
  <c r="N181" i="24"/>
  <c r="N191" i="24"/>
  <c r="AT19" i="24"/>
  <c r="AT20" i="24"/>
  <c r="BE22" i="3"/>
  <c r="AC463" i="3"/>
  <c r="BE44" i="3" s="1"/>
  <c r="S105" i="4"/>
  <c r="S107" i="4" s="1"/>
  <c r="AZ1055" i="3"/>
  <c r="BT761" i="3"/>
  <c r="BU726" i="3"/>
  <c r="BU761" i="3" s="1"/>
  <c r="AH761" i="3" s="1"/>
  <c r="BE43" i="3" s="1"/>
  <c r="EH678" i="3"/>
  <c r="O764" i="3"/>
  <c r="P430" i="3"/>
  <c r="DU810" i="3"/>
  <c r="BE10" i="3"/>
  <c r="BE11" i="3" s="1"/>
  <c r="EC678" i="3"/>
  <c r="AJ995" i="3"/>
  <c r="AJ1001" i="3" s="1"/>
  <c r="EM678" i="3"/>
  <c r="BH726" i="3"/>
  <c r="BH761" i="3" s="1"/>
  <c r="AC761" i="3" s="1"/>
  <c r="BE42" i="3" s="1"/>
  <c r="BG761" i="3"/>
  <c r="AY1014" i="3"/>
  <c r="AG1054" i="3"/>
  <c r="C106" i="11" l="1"/>
  <c r="D106" i="11" s="1"/>
  <c r="D98" i="11"/>
  <c r="I45" i="7"/>
  <c r="I49" i="7"/>
  <c r="S53" i="7"/>
  <c r="Q58" i="7"/>
  <c r="M8" i="7"/>
  <c r="K9" i="7"/>
  <c r="M4" i="7"/>
  <c r="K5" i="7"/>
  <c r="K11" i="7" s="1"/>
  <c r="K37" i="7" s="1"/>
  <c r="E48" i="7"/>
  <c r="E47" i="7"/>
  <c r="E60" i="7"/>
  <c r="O15" i="7"/>
  <c r="M22" i="7"/>
  <c r="M35" i="7" s="1"/>
  <c r="M7" i="7"/>
  <c r="O6" i="7"/>
  <c r="G48" i="7"/>
  <c r="G47" i="7"/>
  <c r="G60" i="7"/>
  <c r="G27" i="21"/>
  <c r="F26" i="21"/>
  <c r="BA1065" i="3"/>
  <c r="AZ1060" i="3"/>
  <c r="BA1064" i="3" s="1"/>
  <c r="BA1068" i="3" s="1"/>
  <c r="AA1065" i="3"/>
  <c r="AC465" i="3"/>
  <c r="AJ1025" i="3"/>
  <c r="AJ1054" i="3"/>
  <c r="BE12" i="3"/>
  <c r="AJ1058" i="3"/>
  <c r="AJ1062" i="3" s="1"/>
  <c r="BE74" i="3"/>
  <c r="BE73" i="3"/>
  <c r="K45" i="7" l="1"/>
  <c r="K49" i="7"/>
  <c r="E67" i="7"/>
  <c r="E66" i="7"/>
  <c r="E70" i="7" s="1"/>
  <c r="E62" i="7"/>
  <c r="E72" i="7" s="1"/>
  <c r="G66" i="7"/>
  <c r="G62" i="7"/>
  <c r="G67" i="7"/>
  <c r="O4" i="7"/>
  <c r="M11" i="7"/>
  <c r="M37" i="7" s="1"/>
  <c r="M5" i="7"/>
  <c r="M9" i="7"/>
  <c r="O8" i="7"/>
  <c r="O7" i="7"/>
  <c r="Q6" i="7"/>
  <c r="U53" i="7"/>
  <c r="S58" i="7"/>
  <c r="Q15" i="7"/>
  <c r="O22" i="7"/>
  <c r="O35" i="7" s="1"/>
  <c r="I48" i="7"/>
  <c r="I47" i="7"/>
  <c r="I60" i="7"/>
  <c r="G26" i="21"/>
  <c r="F29" i="21"/>
  <c r="G29" i="21"/>
  <c r="AA1066" i="3"/>
  <c r="G1067" i="3" s="1"/>
  <c r="BE15" i="3"/>
  <c r="BE13" i="3"/>
  <c r="BE14" i="3" s="1"/>
  <c r="Q4" i="7" l="1"/>
  <c r="O5" i="7"/>
  <c r="O11" i="7" s="1"/>
  <c r="O37" i="7" s="1"/>
  <c r="M45" i="7"/>
  <c r="M49" i="7"/>
  <c r="G70" i="7"/>
  <c r="G72" i="7" s="1"/>
  <c r="I66" i="7"/>
  <c r="I62" i="7"/>
  <c r="I67" i="7"/>
  <c r="Q22" i="7"/>
  <c r="Q35" i="7" s="1"/>
  <c r="S15" i="7"/>
  <c r="W53" i="7"/>
  <c r="U58" i="7"/>
  <c r="Q7" i="7"/>
  <c r="S6" i="7"/>
  <c r="O9" i="7"/>
  <c r="Q8" i="7"/>
  <c r="K48" i="7"/>
  <c r="K47" i="7"/>
  <c r="K60" i="7"/>
  <c r="G93" i="21"/>
  <c r="G94" i="21" s="1"/>
  <c r="E15" i="21" s="1"/>
  <c r="G110" i="21"/>
  <c r="G31" i="21"/>
  <c r="G33" i="21" s="1"/>
  <c r="E9" i="21" s="1"/>
  <c r="G102" i="21"/>
  <c r="G104" i="21" s="1"/>
  <c r="E16" i="21" s="1"/>
  <c r="G125" i="21"/>
  <c r="O45" i="7" l="1"/>
  <c r="O49" i="7"/>
  <c r="K66" i="7"/>
  <c r="K62" i="7"/>
  <c r="K67" i="7"/>
  <c r="I70" i="7"/>
  <c r="I72" i="7" s="1"/>
  <c r="Q9" i="7"/>
  <c r="S8" i="7"/>
  <c r="S7" i="7"/>
  <c r="U6" i="7"/>
  <c r="M47" i="7"/>
  <c r="M60" i="7"/>
  <c r="M48" i="7"/>
  <c r="Y53" i="7"/>
  <c r="W58" i="7"/>
  <c r="Q5" i="7"/>
  <c r="Q11" i="7" s="1"/>
  <c r="Q37" i="7" s="1"/>
  <c r="S4" i="7"/>
  <c r="S22" i="7"/>
  <c r="S35" i="7" s="1"/>
  <c r="U15" i="7"/>
  <c r="G115" i="21"/>
  <c r="G111" i="21"/>
  <c r="G127" i="21"/>
  <c r="G129" i="21" s="1"/>
  <c r="E17" i="21" s="1"/>
  <c r="E14" i="21"/>
  <c r="E18" i="21" s="1"/>
  <c r="H3" i="21" s="1"/>
  <c r="H5" i="21" s="1"/>
  <c r="Q45" i="7" l="1"/>
  <c r="Q49" i="7"/>
  <c r="S9" i="7"/>
  <c r="U8" i="7"/>
  <c r="M62" i="7"/>
  <c r="M67" i="7"/>
  <c r="M66" i="7"/>
  <c r="M70" i="7" s="1"/>
  <c r="M72" i="7" s="1"/>
  <c r="W6" i="7"/>
  <c r="U7" i="7"/>
  <c r="U22" i="7"/>
  <c r="U35" i="7" s="1"/>
  <c r="W15" i="7"/>
  <c r="S5" i="7"/>
  <c r="S11" i="7" s="1"/>
  <c r="S37" i="7" s="1"/>
  <c r="U4" i="7"/>
  <c r="Y58" i="7"/>
  <c r="AA53" i="7"/>
  <c r="K70" i="7"/>
  <c r="K72" i="7" s="1"/>
  <c r="O47" i="7"/>
  <c r="O60" i="7"/>
  <c r="O48" i="7"/>
  <c r="BE70" i="3"/>
  <c r="BE81" i="3"/>
  <c r="S45" i="7" l="1"/>
  <c r="S49" i="7"/>
  <c r="W22" i="7"/>
  <c r="W35" i="7" s="1"/>
  <c r="Y15" i="7"/>
  <c r="O62" i="7"/>
  <c r="O67" i="7"/>
  <c r="O66" i="7"/>
  <c r="O70" i="7" s="1"/>
  <c r="O72" i="7" s="1"/>
  <c r="Y6" i="7"/>
  <c r="W7" i="7"/>
  <c r="AA58" i="7"/>
  <c r="AC53" i="7"/>
  <c r="U9" i="7"/>
  <c r="W8" i="7"/>
  <c r="U5" i="7"/>
  <c r="U11" i="7" s="1"/>
  <c r="U37" i="7" s="1"/>
  <c r="W4" i="7"/>
  <c r="Q47" i="7"/>
  <c r="Q60" i="7"/>
  <c r="Q48" i="7"/>
  <c r="M26" i="3"/>
  <c r="U45" i="7" l="1"/>
  <c r="U49" i="7"/>
  <c r="AE53" i="7"/>
  <c r="AC58" i="7"/>
  <c r="AA6" i="7"/>
  <c r="Y7" i="7"/>
  <c r="Q67" i="7"/>
  <c r="Q66" i="7"/>
  <c r="Q70" i="7" s="1"/>
  <c r="Q62" i="7"/>
  <c r="Q72" i="7" s="1"/>
  <c r="W11" i="7"/>
  <c r="W37" i="7" s="1"/>
  <c r="Y4" i="7"/>
  <c r="W5" i="7"/>
  <c r="AA15" i="7"/>
  <c r="Y22" i="7"/>
  <c r="Y35" i="7" s="1"/>
  <c r="W9" i="7"/>
  <c r="Y8" i="7"/>
  <c r="S60" i="7"/>
  <c r="S48" i="7"/>
  <c r="S47" i="7"/>
  <c r="P204" i="3"/>
  <c r="BE19" i="3"/>
  <c r="M27" i="3"/>
  <c r="Y5" i="7" l="1"/>
  <c r="AA4" i="7"/>
  <c r="S67" i="7"/>
  <c r="S62" i="7"/>
  <c r="S72" i="7" s="1"/>
  <c r="S66" i="7"/>
  <c r="S70" i="7" s="1"/>
  <c r="Y9" i="7"/>
  <c r="Y11" i="7" s="1"/>
  <c r="Y37" i="7" s="1"/>
  <c r="AA8" i="7"/>
  <c r="W45" i="7"/>
  <c r="W49" i="7"/>
  <c r="AA7" i="7"/>
  <c r="AC6" i="7"/>
  <c r="AG53" i="7"/>
  <c r="AG58" i="7" s="1"/>
  <c r="AE58" i="7"/>
  <c r="AC15" i="7"/>
  <c r="AA22" i="7"/>
  <c r="AA35" i="7" s="1"/>
  <c r="U60" i="7"/>
  <c r="U48" i="7"/>
  <c r="U47" i="7"/>
  <c r="BE20" i="3"/>
  <c r="P205" i="3"/>
  <c r="BE83" i="3"/>
  <c r="Y49" i="7" l="1"/>
  <c r="Y45" i="7"/>
  <c r="W48" i="7"/>
  <c r="W47" i="7"/>
  <c r="W60" i="7"/>
  <c r="AA9" i="7"/>
  <c r="AC8" i="7"/>
  <c r="U67" i="7"/>
  <c r="U66" i="7"/>
  <c r="U70" i="7" s="1"/>
  <c r="U62" i="7"/>
  <c r="U72" i="7" s="1"/>
  <c r="AE15" i="7"/>
  <c r="AC22" i="7"/>
  <c r="AC35" i="7" s="1"/>
  <c r="AA5" i="7"/>
  <c r="AA11" i="7" s="1"/>
  <c r="AA37" i="7" s="1"/>
  <c r="AC4" i="7"/>
  <c r="AC7" i="7"/>
  <c r="AE6" i="7"/>
  <c r="AA49" i="7" l="1"/>
  <c r="AA45" i="7"/>
  <c r="AG15" i="7"/>
  <c r="AG22" i="7" s="1"/>
  <c r="AG35" i="7" s="1"/>
  <c r="AE22" i="7"/>
  <c r="AE35" i="7" s="1"/>
  <c r="AE7" i="7"/>
  <c r="AG6" i="7"/>
  <c r="AG7" i="7" s="1"/>
  <c r="AC9" i="7"/>
  <c r="AC11" i="7" s="1"/>
  <c r="AC37" i="7" s="1"/>
  <c r="AE8" i="7"/>
  <c r="W62" i="7"/>
  <c r="W67" i="7"/>
  <c r="W66" i="7"/>
  <c r="W70" i="7" s="1"/>
  <c r="W72" i="7" s="1"/>
  <c r="AC5" i="7"/>
  <c r="AE4" i="7"/>
  <c r="Y47" i="7"/>
  <c r="Y48" i="7"/>
  <c r="Y60" i="7"/>
  <c r="AC49" i="7" l="1"/>
  <c r="AC45" i="7"/>
  <c r="Y67" i="7"/>
  <c r="Y66" i="7"/>
  <c r="Y70" i="7" s="1"/>
  <c r="Y62" i="7"/>
  <c r="Y72" i="7" s="1"/>
  <c r="AG8" i="7"/>
  <c r="AG9" i="7" s="1"/>
  <c r="AE9" i="7"/>
  <c r="AE5" i="7"/>
  <c r="AG4" i="7"/>
  <c r="AE11" i="7"/>
  <c r="AE37" i="7" s="1"/>
  <c r="AA48" i="7"/>
  <c r="AA47" i="7"/>
  <c r="AA60" i="7"/>
  <c r="AE45" i="7" l="1"/>
  <c r="AE49" i="7"/>
  <c r="AC60" i="7"/>
  <c r="AC48" i="7"/>
  <c r="AC47" i="7"/>
  <c r="AG5" i="7"/>
  <c r="AG11" i="7"/>
  <c r="AG37" i="7" s="1"/>
  <c r="AA67" i="7"/>
  <c r="AA66" i="7"/>
  <c r="AA70" i="7" s="1"/>
  <c r="AA62" i="7"/>
  <c r="AA72" i="7" s="1"/>
  <c r="AG45" i="7" l="1"/>
  <c r="AG49" i="7"/>
  <c r="AC67" i="7"/>
  <c r="AC66" i="7"/>
  <c r="AC70" i="7" s="1"/>
  <c r="AC62" i="7"/>
  <c r="AC72" i="7" s="1"/>
  <c r="AE48" i="7"/>
  <c r="AE47" i="7"/>
  <c r="AE60" i="7"/>
  <c r="AE66" i="7" l="1"/>
  <c r="AE62" i="7"/>
  <c r="AE67" i="7"/>
  <c r="AG48" i="7"/>
  <c r="AG47" i="7"/>
  <c r="AG60" i="7"/>
  <c r="AG66" i="7" l="1"/>
  <c r="AG67" i="7"/>
  <c r="AE70" i="7"/>
  <c r="AE72" i="7" s="1"/>
  <c r="AG70" i="7" l="1"/>
  <c r="AG72" i="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AA344" authorId="1" shapeId="0" xr:uid="{B30D307B-0D42-4923-8A2F-B1545990DFED}">
      <text>
        <r>
          <rPr>
            <sz val="9"/>
            <color indexed="81"/>
            <rFont val="Tahoma"/>
            <family val="2"/>
          </rPr>
          <t xml:space="preserve">Experienced property management company requesting points </t>
        </r>
        <r>
          <rPr>
            <u/>
            <sz val="9"/>
            <color indexed="81"/>
            <rFont val="Tahoma"/>
            <family val="2"/>
          </rPr>
          <t>must</t>
        </r>
        <r>
          <rPr>
            <sz val="9"/>
            <color indexed="81"/>
            <rFont val="Tahoma"/>
            <family val="2"/>
          </rPr>
          <t xml:space="preserve"> be listed here.</t>
        </r>
      </text>
    </comment>
    <comment ref="M559"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J787" authorId="1" shapeId="0" xr:uid="{C0D2857A-5FC4-4C2F-A5AE-CD0D97FBA242}">
      <text>
        <r>
          <rPr>
            <sz val="9"/>
            <color indexed="81"/>
            <rFont val="Tahoma"/>
            <family val="2"/>
          </rPr>
          <t>Include prior approval of Executive Director in Tab 10 when selecting this option.</t>
        </r>
      </text>
    </comment>
    <comment ref="Z817"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AA927" authorId="1" shapeId="0" xr:uid="{698E6F07-CE43-4F25-9C52-F5E6AAC12709}">
      <text>
        <r>
          <rPr>
            <sz val="9"/>
            <color indexed="81"/>
            <rFont val="Tahoma"/>
            <family val="2"/>
          </rPr>
          <t xml:space="preserve">Must match the sum of "Loan, Tax-Exempt" in Construction Financing table. This number should also match the PDF Joint Application submitted.
</t>
        </r>
      </text>
    </comment>
    <comment ref="R995"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7"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305" authorId="0" shapeId="0" xr:uid="{44D572CF-24FA-4A9D-AF74-B902460F6538}">
      <text>
        <r>
          <rPr>
            <sz val="9"/>
            <color indexed="81"/>
            <rFont val="Tahoma"/>
            <family val="2"/>
          </rPr>
          <t>*Using the sort order described in Section 5106, once projects receiving 10 points pursuant to subparagraph (A) have been recommended for allocations that meet or exceed the following threshold, all remaining projects in each pool or set-aside shall receive 9 points for meeting the requirements of this subparagraph. For the purpose of awarding points per round (excluding an established waiting list) pursuant to Section 5105(i), 10 points will be awarded until approximately 48% of the amount available to a pool or set-aside has been allocated or until the next eligible project in line would allocate over 52% of the amount available to the pool or set aside. Subsequently, all remaining projects in each pool or set-aside shall receive 9 points for meeting the requirements of this subparagraph.</t>
        </r>
      </text>
    </comment>
    <comment ref="H792"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I9" authorId="0" shapeId="0" xr:uid="{40A19FA4-24A7-4990-8FED-B8375D78E71C}">
      <text>
        <r>
          <rPr>
            <sz val="9"/>
            <color indexed="81"/>
            <rFont val="Tahoma"/>
            <family val="2"/>
          </rPr>
          <t xml:space="preserve">Assumes the greater of: 
• 27.5% of the aggregated depreciable basis plus land basis or 
• the actual amount requested </t>
        </r>
      </text>
    </comment>
    <comment ref="I10" authorId="0" shapeId="0" xr:uid="{AF2AB174-9D3C-4B68-9D5C-232E1CEFD17A}">
      <text>
        <r>
          <rPr>
            <sz val="9"/>
            <color indexed="81"/>
            <rFont val="Tahoma"/>
            <family val="2"/>
          </rPr>
          <t>Excludes state credits for Farmworker Housing</t>
        </r>
      </text>
    </commen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87" authorId="0" shapeId="0" xr:uid="{5BACA3C2-BBC2-4EBF-900D-EEDB4C09B202}">
      <text>
        <r>
          <rPr>
            <sz val="9"/>
            <color indexed="81"/>
            <rFont val="Tahoma"/>
            <family val="2"/>
          </rPr>
          <t>*as specified on the HCD Neighborhood Change Map</t>
        </r>
      </text>
    </comment>
    <comment ref="C140" authorId="0" shapeId="0" xr:uid="{CDA498D8-7E9D-44C6-8912-E579E10B0433}">
      <text>
        <r>
          <rPr>
            <sz val="9"/>
            <color indexed="81"/>
            <rFont val="Tahoma"/>
            <family val="2"/>
          </rPr>
          <t>*within the meaning of Section 2500(b)(1) of the Public Contract Code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<sst xmlns="http://schemas.openxmlformats.org/spreadsheetml/2006/main" count="5036" uniqueCount="2752">
  <si>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</si>
  <si>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</si>
  <si>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</si>
  <si>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</si>
  <si>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</si>
  <si>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</si>
  <si>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</si>
  <si>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</si>
  <si>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</si>
  <si>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</si>
  <si>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</si>
  <si>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</si>
  <si>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</si>
  <si>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</si>
  <si>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</si>
  <si>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</si>
  <si>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</si>
  <si>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</si>
  <si>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</si>
  <si>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</si>
  <si>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</si>
  <si>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</si>
  <si>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</si>
  <si>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</si>
  <si>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</si>
  <si>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</si>
  <si>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</si>
  <si>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</si>
  <si>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</si>
  <si>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</si>
  <si>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</si>
  <si>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</si>
  <si>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</si>
  <si>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</si>
  <si>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</si>
  <si>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</si>
  <si>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</si>
  <si>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</si>
  <si>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</si>
  <si>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</si>
  <si>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</si>
  <si>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</si>
  <si>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</si>
  <si>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</si>
  <si>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</si>
  <si>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</si>
  <si>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</si>
  <si>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</si>
  <si>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</si>
  <si>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</si>
  <si>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</si>
  <si>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</si>
  <si>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</si>
  <si>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</si>
  <si>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</si>
  <si>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</si>
  <si>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</si>
  <si>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</si>
  <si>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</si>
  <si>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</si>
  <si>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</si>
  <si>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</si>
  <si>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</si>
  <si>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</si>
  <si>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</si>
  <si>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</si>
  <si>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</si>
  <si>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</si>
  <si>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</si>
  <si>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</si>
  <si>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</si>
  <si>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</si>
  <si>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</si>
  <si>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</si>
  <si>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</si>
  <si>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</si>
  <si>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</si>
  <si>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</si>
  <si>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</si>
  <si>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</si>
  <si>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</si>
  <si>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</si>
  <si>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</si>
  <si>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</si>
  <si>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</si>
  <si>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</si>
  <si>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</si>
  <si>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</si>
  <si>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</si>
  <si>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</si>
  <si>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</si>
  <si>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</si>
  <si>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</si>
  <si>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</si>
  <si>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</si>
  <si>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</si>
  <si>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</si>
  <si>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</si>
  <si>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</si>
  <si>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</si>
  <si>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</si>
  <si>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</si>
  <si>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</si>
  <si>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</si>
  <si>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</si>
  <si>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</si>
  <si>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</si>
  <si>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</si>
  <si>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</si>
  <si>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</si>
  <si>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</si>
  <si>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</si>
  <si>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</si>
  <si>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</si>
  <si>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</si>
  <si>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</si>
  <si>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</si>
  <si>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</si>
  <si>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</si>
  <si>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</si>
  <si>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</si>
  <si>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</si>
  <si>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</si>
  <si>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</si>
  <si>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</si>
  <si>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</si>
  <si>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</si>
  <si>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</si>
  <si>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</si>
  <si>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</si>
  <si>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</si>
  <si>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</si>
  <si>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</si>
  <si>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</si>
  <si>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</si>
  <si>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</si>
  <si>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</si>
  <si>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</si>
  <si>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</si>
  <si>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</si>
  <si>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</si>
  <si>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</si>
  <si>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</si>
  <si>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</si>
  <si>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</si>
  <si>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</si>
  <si>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</si>
  <si>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</si>
  <si>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</si>
  <si>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</si>
  <si>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</si>
  <si>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</si>
  <si>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</si>
  <si>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</si>
  <si>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</si>
  <si>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</si>
  <si>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</si>
  <si>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</si>
  <si>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</si>
  <si>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</si>
  <si>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</si>
  <si>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</si>
  <si>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</si>
  <si>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</si>
  <si>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</si>
  <si>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</si>
  <si>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</si>
  <si>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</si>
  <si>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</si>
  <si>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</si>
  <si>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</si>
  <si>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</si>
  <si>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</si>
  <si>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</si>
  <si>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</si>
  <si>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</si>
  <si>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</si>
  <si>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</si>
  <si>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</si>
  <si>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</si>
  <si>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</si>
  <si>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</si>
  <si>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</si>
  <si>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</si>
  <si>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</si>
  <si>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</si>
  <si>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</si>
  <si>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</si>
  <si>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</si>
  <si>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</si>
  <si>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</si>
  <si>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</si>
  <si>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</si>
  <si>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</si>
  <si>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</si>
  <si>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</si>
  <si>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</si>
  <si>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</si>
  <si>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</si>
  <si>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</si>
  <si>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</si>
  <si>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</si>
  <si>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</si>
  <si>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</si>
  <si>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</si>
  <si>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</si>
  <si>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</si>
  <si>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</si>
  <si>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</si>
  <si>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</si>
  <si>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</si>
  <si>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</si>
  <si>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</si>
  <si>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</si>
  <si>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</si>
  <si>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</si>
  <si>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</si>
  <si>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</si>
  <si>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</si>
  <si>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</si>
  <si>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</si>
  <si>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</si>
  <si>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</si>
  <si>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</si>
  <si>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</si>
  <si>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</si>
  <si>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</si>
  <si>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</si>
  <si>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</si>
  <si>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</si>
  <si>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</si>
  <si>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</si>
  <si>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</si>
  <si>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</si>
  <si>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</si>
  <si>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</si>
  <si>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</si>
  <si>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</si>
  <si>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</si>
  <si>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</si>
  <si>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</si>
  <si>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</si>
  <si>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</si>
  <si>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</si>
  <si>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</si>
  <si>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</si>
  <si>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</si>
  <si>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</si>
  <si>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</si>
  <si>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</si>
  <si>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</si>
  <si>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</si>
  <si>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</si>
  <si>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</si>
  <si>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</si>
  <si>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</si>
  <si>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</si>
  <si>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</si>
  <si>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</si>
  <si>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</si>
  <si>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</si>
  <si>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</si>
  <si>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</si>
  <si>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</si>
  <si>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</si>
  <si>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</si>
  <si>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</si>
  <si>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</si>
  <si>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</si>
  <si>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</si>
  <si>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</si>
  <si>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</si>
  <si>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</si>
  <si>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</si>
  <si>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</si>
  <si>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</si>
  <si>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</si>
  <si>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</si>
  <si>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</si>
  <si>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</si>
  <si>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</si>
  <si>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</si>
  <si>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</si>
  <si>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</si>
  <si>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</si>
  <si>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</si>
  <si>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</si>
  <si>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</si>
  <si>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</si>
  <si>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</si>
  <si>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</si>
  <si>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</si>
  <si>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</si>
  <si>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</si>
  <si>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</si>
  <si>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</si>
  <si>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</si>
  <si>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</si>
  <si>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</si>
  <si>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</si>
  <si>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</si>
  <si>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</si>
  <si>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</si>
  <si>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</si>
  <si>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</si>
  <si>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</si>
  <si>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</si>
  <si>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</si>
  <si>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</si>
  <si>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</si>
  <si>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</si>
  <si>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</si>
  <si>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</si>
  <si>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</si>
  <si>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</si>
  <si>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</si>
  <si>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</si>
  <si>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</si>
  <si>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</si>
  <si>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</si>
  <si>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</si>
  <si>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</si>
  <si>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</si>
  <si>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</si>
  <si>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</si>
  <si>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</si>
  <si>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</si>
  <si>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</si>
  <si>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</si>
  <si>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</si>
  <si>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</si>
  <si>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</si>
  <si>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</si>
  <si>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</si>
  <si>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</si>
  <si>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</si>
  <si>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</si>
  <si>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</si>
  <si>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</si>
  <si>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</si>
  <si>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</si>
  <si>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</si>
  <si>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</si>
  <si>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</si>
  <si>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</si>
  <si>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</si>
  <si>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</si>
  <si>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</si>
  <si>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</si>
  <si>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</si>
  <si>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</si>
  <si>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</si>
  <si>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</si>
  <si>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</si>
  <si>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</si>
  <si>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</si>
  <si>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</si>
  <si>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</si>
  <si>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</si>
  <si>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</si>
  <si>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</si>
  <si>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</si>
  <si>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</si>
  <si>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</si>
  <si>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</si>
  <si>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</si>
  <si>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</si>
  <si>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</si>
  <si>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</si>
  <si>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</si>
  <si>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</si>
  <si>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</si>
  <si>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</si>
  <si>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</si>
  <si>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</si>
  <si>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</si>
  <si>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</si>
  <si>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</si>
  <si>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</si>
  <si>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</si>
  <si>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</si>
  <si>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</si>
  <si>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</si>
  <si>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</si>
  <si>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</si>
  <si>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</si>
  <si>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</si>
  <si>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</si>
  <si>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</si>
  <si>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</si>
  <si>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</si>
  <si>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</si>
  <si>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</si>
  <si>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</si>
  <si>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</si>
  <si>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</si>
  <si>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</si>
  <si>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</si>
  <si>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</si>
  <si>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</si>
  <si>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</si>
  <si>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</si>
  <si>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</si>
  <si>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</si>
  <si>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</si>
  <si>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</si>
  <si>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</si>
  <si>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</si>
  <si>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</si>
  <si>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</si>
  <si>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</si>
  <si>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</si>
  <si>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</si>
  <si>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</si>
  <si>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</si>
  <si>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</si>
  <si>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</si>
  <si>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</si>
  <si>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</si>
  <si>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</si>
  <si>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</si>
  <si>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</si>
  <si>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</si>
  <si>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</si>
  <si>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</si>
  <si>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</si>
  <si>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</si>
  <si>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</si>
  <si>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</si>
  <si>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</si>
  <si>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</si>
  <si>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</si>
  <si>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</si>
  <si>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</si>
  <si>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</si>
  <si>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</si>
  <si>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</si>
  <si>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</si>
  <si>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</si>
  <si>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</si>
  <si>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</si>
  <si>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</si>
  <si>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</si>
  <si>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</si>
  <si>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</si>
  <si>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</si>
  <si>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</si>
  <si>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</si>
  <si>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</si>
  <si>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</si>
  <si>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</si>
  <si>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</si>
  <si>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</si>
  <si>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</si>
  <si>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</si>
  <si>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</si>
  <si>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</si>
  <si>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</si>
  <si>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</si>
  <si>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</si>
  <si>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</si>
  <si>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</si>
  <si>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</si>
  <si>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</si>
  <si>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</si>
  <si>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</si>
  <si>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</si>
  <si>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</si>
  <si>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</si>
  <si>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</si>
  <si>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</si>
  <si>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</si>
  <si>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</si>
  <si>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</si>
  <si>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</si>
  <si>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</si>
  <si>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</si>
  <si>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</si>
  <si>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</si>
  <si>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</si>
  <si>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</si>
  <si>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</si>
  <si>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</si>
  <si>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</si>
  <si>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</si>
  <si>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</si>
  <si>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</si>
  <si>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</si>
  <si>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</si>
  <si>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</si>
  <si>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</si>
  <si>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</si>
  <si>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</si>
  <si>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</si>
  <si>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</si>
  <si>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</si>
  <si>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</si>
  <si>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</si>
  <si>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</si>
  <si>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</si>
  <si>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</si>
  <si>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</si>
  <si>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</si>
  <si>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</si>
  <si>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</si>
  <si>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</si>
  <si>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</si>
  <si>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</si>
  <si>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</si>
  <si>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</si>
  <si>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</si>
  <si>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</si>
  <si>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</si>
  <si>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</si>
  <si>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</si>
  <si>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</si>
  <si>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</si>
  <si>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</si>
  <si>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</si>
  <si>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</si>
  <si>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</si>
  <si>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</si>
  <si>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</si>
  <si>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</si>
  <si>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</si>
  <si>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</si>
  <si>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</si>
  <si>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</si>
  <si>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</si>
  <si>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</si>
  <si>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</si>
  <si>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</si>
  <si>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</si>
  <si>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</si>
  <si>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</si>
  <si>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</si>
  <si>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</si>
  <si>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</si>
  <si>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</si>
  <si>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</si>
  <si>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</si>
  <si>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</si>
  <si>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</si>
  <si>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</si>
  <si>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</si>
  <si>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</si>
  <si>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</si>
  <si>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</si>
  <si>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</si>
  <si>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</si>
  <si>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</si>
  <si>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</si>
  <si>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</si>
  <si>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</si>
  <si>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</si>
  <si>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</si>
  <si>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</si>
  <si>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</si>
  <si>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</si>
  <si>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</si>
  <si>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</si>
  <si>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</si>
  <si>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</si>
  <si>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</si>
  <si>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</si>
  <si>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</si>
  <si>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</si>
  <si>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</si>
  <si>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</si>
  <si>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</si>
  <si>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</si>
  <si>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</si>
  <si>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</si>
  <si>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</si>
  <si>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</si>
  <si>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</si>
  <si>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</si>
  <si>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</si>
  <si>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</si>
  <si>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</si>
  <si>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</si>
  <si>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</si>
  <si>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</si>
  <si>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</si>
  <si>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</si>
  <si>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</si>
  <si>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</si>
  <si>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</si>
  <si>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</si>
  <si>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</si>
  <si>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</si>
  <si>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</si>
  <si>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</si>
  <si>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</si>
  <si>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</si>
  <si>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</si>
  <si>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</si>
  <si>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</si>
  <si>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</si>
  <si>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</si>
  <si>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</si>
  <si>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</si>
  <si>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</si>
  <si>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</si>
  <si>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</si>
  <si>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</si>
  <si>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</si>
  <si>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</si>
  <si>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</si>
  <si>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</si>
  <si>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</si>
  <si>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</si>
  <si>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</si>
  <si>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</si>
  <si>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</si>
  <si>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</si>
  <si>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</si>
  <si>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</si>
  <si>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</si>
  <si>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</si>
  <si>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</si>
  <si>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</si>
  <si>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</si>
  <si>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</si>
  <si>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</si>
  <si>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</si>
  <si>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</si>
  <si>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</si>
  <si>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</si>
  <si>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</si>
  <si>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</si>
  <si>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</si>
  <si>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</si>
  <si>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</si>
  <si>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</si>
  <si>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</si>
  <si>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</si>
  <si>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</si>
  <si>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</si>
  <si>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</si>
  <si>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</si>
  <si>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</si>
  <si>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</si>
  <si>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</si>
  <si>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</si>
  <si>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</si>
  <si>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</si>
  <si>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</si>
  <si>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</si>
  <si>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</si>
  <si>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</si>
  <si>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</si>
  <si>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</si>
  <si>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</si>
  <si>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</si>
  <si>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</si>
  <si>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</si>
  <si>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</si>
  <si>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</si>
  <si>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</si>
  <si>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</si>
  <si>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</si>
  <si>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</si>
  <si>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</si>
  <si>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</si>
  <si>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</si>
  <si>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</si>
  <si>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</si>
  <si>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</si>
  <si>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</si>
  <si>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</si>
  <si>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</si>
  <si>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</si>
  <si>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</si>
  <si>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</si>
  <si>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</si>
  <si>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</si>
  <si>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</si>
  <si>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</si>
  <si>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</si>
  <si>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</si>
  <si>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</si>
  <si>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</si>
  <si>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</si>
  <si>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</si>
  <si>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</si>
  <si>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</si>
  <si>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</si>
  <si>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</si>
  <si>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</si>
  <si>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</si>
  <si>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</si>
  <si>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</si>
  <si>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</si>
  <si>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</si>
  <si>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</si>
  <si>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</si>
  <si>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</si>
  <si>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</si>
  <si>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</si>
  <si>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</si>
  <si>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</si>
  <si>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</si>
  <si>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</si>
  <si>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</si>
  <si>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</si>
  <si>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</si>
  <si>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</si>
  <si>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</si>
  <si>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</si>
  <si>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</si>
  <si>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</si>
  <si>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</si>
  <si>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</si>
  <si>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</si>
  <si>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</si>
  <si>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</si>
  <si>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</si>
  <si>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</si>
  <si>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</si>
  <si>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</si>
  <si>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</si>
  <si>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</si>
  <si>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</si>
  <si>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</si>
  <si>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</si>
  <si>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</si>
  <si>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</si>
  <si>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</si>
  <si>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</si>
  <si>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</si>
  <si>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</si>
  <si>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</si>
  <si>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</si>
  <si>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</si>
  <si>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</si>
  <si>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</si>
  <si>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</si>
  <si>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</si>
  <si>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</si>
  <si>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</si>
  <si>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</si>
  <si>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</si>
  <si>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</si>
  <si>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</si>
  <si>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</si>
  <si>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</si>
  <si>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</si>
  <si>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</si>
  <si>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</si>
  <si>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</si>
  <si>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</si>
  <si>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</si>
  <si>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</si>
  <si>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</si>
  <si>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</si>
  <si>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</si>
  <si>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</si>
  <si>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</si>
  <si>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</si>
  <si>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</si>
  <si>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</si>
  <si>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</si>
  <si>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</si>
  <si>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</si>
  <si>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</si>
  <si>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</si>
  <si>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</si>
  <si>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</si>
  <si>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</si>
  <si>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</si>
  <si>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</si>
  <si>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</si>
  <si>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</si>
  <si>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</si>
  <si>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</si>
  <si>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</si>
  <si>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</si>
  <si>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</si>
  <si>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</si>
  <si>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</si>
  <si>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</si>
  <si>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</si>
  <si>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</si>
  <si>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</si>
  <si>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</si>
  <si>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</si>
  <si>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</si>
  <si>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</si>
  <si>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</si>
  <si>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</si>
  <si>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</si>
  <si>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</si>
  <si>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</si>
  <si>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</si>
  <si>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</si>
  <si>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</si>
  <si>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</si>
  <si>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</si>
  <si>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</si>
  <si>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</si>
  <si>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</si>
  <si>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</si>
  <si>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</si>
  <si>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</si>
  <si>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</si>
  <si>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</si>
  <si>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</si>
  <si>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</si>
  <si>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</si>
  <si>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</si>
  <si>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</si>
  <si>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</si>
  <si>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</si>
  <si>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</si>
  <si>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</si>
  <si>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</si>
  <si>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</si>
  <si>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</si>
  <si>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</si>
  <si>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</si>
  <si>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</si>
  <si>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</si>
  <si>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</si>
  <si>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</si>
  <si>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</si>
  <si>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</si>
  <si>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</si>
  <si>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</si>
  <si>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</si>
  <si>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</si>
  <si>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</si>
  <si>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</si>
  <si>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</si>
  <si>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</si>
  <si>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</si>
  <si>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</si>
  <si>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</si>
  <si>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</si>
  <si>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</si>
  <si>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</si>
  <si>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</si>
  <si>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</si>
  <si>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</si>
  <si>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</si>
  <si>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</si>
  <si>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</si>
  <si>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</si>
  <si>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</si>
  <si>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</si>
  <si>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</si>
  <si>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</si>
  <si>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</si>
  <si>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</si>
  <si>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</si>
  <si>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</si>
  <si>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</si>
  <si>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</si>
  <si>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</si>
  <si>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</si>
  <si>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</si>
  <si>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</si>
  <si>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</si>
  <si>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</si>
  <si>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</si>
  <si>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</si>
  <si>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</si>
  <si>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</si>
  <si>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</si>
  <si>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</si>
  <si>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</si>
  <si>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</si>
  <si>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</si>
  <si>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</si>
  <si>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</si>
  <si>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</si>
  <si>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</si>
  <si>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</si>
  <si>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</si>
  <si>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</si>
  <si>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</si>
  <si>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</si>
  <si>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</si>
  <si>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</si>
  <si>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</si>
  <si>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</si>
  <si>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</si>
  <si>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</si>
  <si>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</si>
  <si>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</si>
  <si>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</si>
  <si>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</si>
  <si>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</si>
  <si>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</si>
  <si>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</si>
  <si>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</si>
  <si>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</si>
  <si>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</si>
  <si>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</si>
  <si>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</si>
  <si>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</si>
  <si>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</si>
  <si>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</si>
  <si>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</si>
  <si>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</si>
  <si>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</si>
  <si>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</si>
  <si>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</si>
  <si>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</si>
  <si>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</si>
  <si>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</si>
  <si>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</si>
  <si>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</si>
  <si>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</si>
  <si>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</si>
  <si>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</si>
  <si>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</si>
  <si>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</si>
  <si>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</si>
  <si>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</si>
  <si>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</si>
  <si>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</si>
  <si>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</si>
  <si>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</si>
  <si>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</si>
  <si>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</si>
  <si>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</si>
  <si>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</si>
  <si>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</si>
  <si>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</si>
  <si>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</si>
  <si>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</si>
  <si>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</si>
  <si>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</si>
  <si>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</si>
  <si>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</si>
  <si>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</si>
  <si>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</si>
  <si>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</si>
  <si>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</si>
  <si>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</si>
  <si>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</si>
  <si>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</si>
  <si>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</si>
  <si>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</si>
  <si>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</si>
  <si>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</si>
  <si>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</si>
  <si>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</si>
  <si>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</si>
  <si>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</si>
  <si>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</si>
  <si>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</si>
  <si>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</si>
  <si>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</si>
  <si>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</si>
  <si>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</si>
  <si>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</si>
  <si>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</si>
  <si>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</si>
  <si>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</si>
  <si>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</si>
  <si>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</si>
  <si>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</si>
  <si>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</si>
  <si>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</si>
  <si>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</si>
  <si>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</si>
  <si>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</si>
  <si>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</si>
  <si>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</si>
  <si>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</si>
  <si>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</si>
  <si>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</si>
  <si>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</si>
  <si>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</si>
  <si>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</si>
  <si>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</si>
  <si>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</si>
  <si>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</si>
  <si>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</si>
  <si>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</si>
  <si>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</si>
  <si>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</si>
  <si>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</si>
  <si>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</si>
  <si>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</si>
  <si>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</si>
  <si>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</si>
  <si>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</si>
  <si>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</si>
  <si>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</si>
  <si>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</si>
  <si>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</si>
  <si>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</si>
  <si>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</si>
  <si>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</si>
  <si>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</si>
  <si>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</si>
  <si>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</si>
  <si>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</si>
  <si>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</si>
  <si>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</si>
  <si>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</si>
  <si>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</si>
  <si>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</si>
  <si>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</si>
  <si>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</si>
  <si>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</si>
  <si>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</si>
  <si>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</si>
  <si>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</si>
  <si>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</si>
  <si>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</si>
  <si>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</si>
  <si>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</si>
  <si>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</si>
  <si>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</si>
  <si>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</si>
  <si>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</si>
  <si>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</si>
  <si>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</si>
  <si>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</si>
  <si>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</si>
  <si>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</si>
  <si>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</si>
  <si>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</si>
  <si>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</si>
  <si>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</si>
  <si>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</si>
  <si>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</si>
  <si>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</si>
  <si>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</si>
  <si>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</si>
  <si>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</si>
  <si>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</si>
  <si>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</si>
  <si>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</si>
  <si>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</si>
  <si>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</si>
  <si>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</si>
  <si>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</si>
  <si>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</si>
  <si>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</si>
  <si>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</si>
  <si>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</si>
  <si>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</si>
  <si>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</si>
  <si>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</si>
  <si>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</si>
  <si>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</si>
  <si>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</si>
  <si>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</si>
  <si>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</si>
  <si>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</si>
  <si>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</si>
  <si>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</si>
  <si>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</si>
  <si>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</si>
  <si>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</si>
  <si>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</si>
  <si>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</si>
  <si>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</si>
  <si>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</si>
  <si>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</si>
  <si>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</si>
  <si>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</si>
  <si>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</si>
  <si>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</si>
  <si>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</si>
  <si>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</si>
  <si>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</si>
  <si>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</si>
  <si>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</si>
  <si>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</si>
  <si>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</si>
  <si>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</si>
  <si>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</si>
  <si>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</si>
  <si>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</si>
  <si>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</si>
  <si>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</si>
  <si>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</si>
  <si>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</si>
  <si>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</si>
  <si>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</si>
  <si>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</si>
  <si>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</si>
  <si>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</si>
  <si>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</si>
  <si>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</si>
  <si>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</si>
  <si>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</si>
  <si>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</si>
  <si>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</si>
  <si>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</si>
  <si>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</si>
  <si>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</si>
  <si>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</si>
  <si>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</si>
  <si>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</si>
  <si>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</si>
  <si>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</si>
  <si>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</si>
  <si>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</si>
  <si>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</si>
  <si>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</si>
  <si>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</si>
  <si>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</si>
  <si>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</si>
  <si>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</si>
  <si>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</si>
  <si>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</si>
  <si>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</si>
  <si>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</si>
  <si>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</si>
  <si>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</si>
  <si>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</si>
  <si>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</si>
  <si>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</si>
  <si>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</si>
  <si>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</si>
  <si>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</si>
  <si>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</si>
  <si>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</si>
  <si>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</si>
  <si>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</si>
  <si>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</si>
  <si>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</si>
  <si>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</si>
  <si>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</si>
  <si>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</si>
  <si>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</si>
  <si>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</si>
  <si>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</si>
  <si>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</si>
  <si>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</si>
  <si>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</si>
  <si>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</si>
  <si>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</si>
  <si>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</si>
  <si>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</si>
  <si>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</si>
  <si>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</si>
  <si>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</si>
  <si>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</si>
  <si>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</si>
  <si>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</si>
  <si>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</si>
  <si>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</si>
  <si>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</si>
  <si>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</si>
  <si>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</si>
  <si>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</si>
  <si>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</si>
  <si>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</si>
  <si>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</si>
  <si>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</si>
  <si>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</si>
  <si>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</si>
  <si>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</si>
  <si>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</si>
  <si>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</si>
  <si>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</si>
  <si>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</si>
  <si>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</si>
  <si>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</si>
  <si>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</si>
  <si>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</si>
  <si>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</si>
  <si>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</si>
  <si>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</si>
  <si>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</si>
  <si>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</si>
  <si>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</si>
  <si>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</si>
  <si>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</si>
  <si>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</si>
  <si>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</si>
  <si>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</si>
  <si>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</si>
  <si>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</si>
  <si>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</si>
  <si>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</si>
  <si>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</si>
  <si>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</si>
  <si>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</si>
  <si>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</si>
  <si>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</si>
  <si>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</si>
  <si>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</si>
  <si>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</si>
  <si>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</si>
  <si>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</si>
  <si>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</si>
  <si>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</si>
  <si>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</si>
  <si>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</si>
  <si>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</si>
  <si>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</si>
  <si>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</si>
  <si>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</si>
  <si>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</si>
  <si>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</si>
  <si>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</si>
  <si>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</si>
  <si>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</si>
  <si>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</si>
  <si>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</si>
  <si>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</si>
  <si>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</si>
  <si>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</si>
  <si>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</si>
  <si>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</si>
  <si>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</si>
  <si>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</si>
  <si>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</si>
  <si>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</si>
  <si>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</si>
  <si>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</si>
  <si>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</si>
  <si>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</si>
  <si>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</si>
  <si>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</si>
  <si>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</si>
  <si>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</si>
  <si>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</si>
  <si>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</si>
  <si>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</si>
  <si>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</si>
  <si>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</si>
  <si>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</si>
  <si>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</si>
  <si>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</si>
  <si>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</si>
  <si>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</si>
  <si>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</si>
  <si>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</si>
  <si>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</si>
  <si>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</si>
  <si>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</si>
  <si>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</si>
  <si>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</si>
  <si>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</si>
  <si>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</si>
  <si>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</si>
  <si>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</si>
  <si>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</si>
  <si>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</si>
  <si>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</si>
  <si>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</si>
  <si>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</si>
  <si>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</si>
  <si>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</si>
  <si>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</si>
  <si>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</si>
  <si>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</si>
  <si>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</si>
  <si>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</si>
  <si>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</si>
  <si>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</si>
  <si>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</si>
  <si>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</si>
  <si>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</si>
  <si>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</si>
  <si>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</si>
  <si>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</si>
  <si>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</si>
  <si>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</si>
  <si>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</si>
  <si>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</si>
  <si>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</si>
  <si>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</si>
  <si>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</si>
  <si>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</si>
  <si>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</si>
  <si>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</si>
  <si>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</si>
  <si>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</si>
  <si>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</si>
  <si>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</si>
  <si>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</si>
  <si>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</si>
  <si>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</si>
  <si>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</si>
  <si>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</si>
  <si>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</si>
  <si>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</si>
  <si>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</si>
  <si>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</si>
  <si>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</si>
  <si>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</si>
  <si>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</si>
  <si>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</si>
  <si>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</si>
  <si>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</si>
  <si>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</si>
  <si>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</si>
  <si>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</si>
  <si>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</si>
  <si>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</si>
  <si>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</si>
  <si>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</si>
  <si>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Maximum 20 Points</t>
  </si>
  <si>
    <t>At Risk Project</t>
  </si>
  <si>
    <t>points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</si>
  <si>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</si>
  <si>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</si>
  <si>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</si>
  <si>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</si>
  <si>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</si>
  <si>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</si>
  <si>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</si>
  <si>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</si>
  <si>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</si>
  <si>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</si>
  <si>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</si>
  <si>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</si>
  <si>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</si>
  <si>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</si>
  <si>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</si>
  <si>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</si>
  <si>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</si>
  <si>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</si>
  <si>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</si>
  <si>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</si>
  <si>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</si>
  <si>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</si>
  <si>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</si>
  <si>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</si>
  <si>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</si>
  <si>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</si>
  <si>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</si>
  <si>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</si>
  <si>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</si>
  <si>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</si>
  <si>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</si>
  <si>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</si>
  <si>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</si>
  <si>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</si>
  <si>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</si>
  <si>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</si>
  <si>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</si>
  <si>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</si>
  <si>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</si>
  <si>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</si>
  <si>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</si>
  <si>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</si>
  <si>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</si>
  <si>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</si>
  <si>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</si>
  <si>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</si>
  <si>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</si>
  <si>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</si>
  <si>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</si>
  <si>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</si>
  <si>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</si>
  <si>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</si>
  <si>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</si>
  <si>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</si>
  <si>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</si>
  <si>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</si>
  <si>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</si>
  <si>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</si>
  <si>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</si>
  <si>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</si>
  <si>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</si>
  <si>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</si>
  <si>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</si>
  <si>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</si>
  <si>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</si>
  <si>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</si>
  <si>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</si>
  <si>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</si>
  <si>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</si>
  <si>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</si>
  <si>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</si>
  <si>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</si>
  <si>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</si>
  <si>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</si>
  <si>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</si>
  <si>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</si>
  <si>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</si>
  <si>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</si>
  <si>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</si>
  <si>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</si>
  <si>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</si>
  <si>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</si>
  <si>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</si>
  <si>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</si>
  <si>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</si>
  <si>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</si>
  <si>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</si>
  <si>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</si>
  <si>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</si>
  <si>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</si>
  <si>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</si>
  <si>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</si>
  <si>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</si>
  <si>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</si>
  <si>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</si>
  <si>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</si>
  <si>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</si>
  <si>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</si>
  <si>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</si>
  <si>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</si>
  <si>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</si>
  <si>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</si>
  <si>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</si>
  <si>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</si>
  <si>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</si>
  <si>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</si>
  <si>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</si>
  <si>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</si>
  <si>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</si>
  <si>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</si>
  <si>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</si>
  <si>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</si>
  <si>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</si>
  <si>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</si>
  <si>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</si>
  <si>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</si>
  <si>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</si>
  <si>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</si>
  <si>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</si>
  <si>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</si>
  <si>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</si>
  <si>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</si>
  <si>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</si>
  <si>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</si>
  <si>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</si>
  <si>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</si>
  <si>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</si>
  <si>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</si>
  <si>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</si>
  <si>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</si>
  <si>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</si>
  <si>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</si>
  <si>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</si>
  <si>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</si>
  <si>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</si>
  <si>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</si>
  <si>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</si>
  <si>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</si>
  <si>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</si>
  <si>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</si>
  <si>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</si>
  <si>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</si>
  <si>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</si>
  <si>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</si>
  <si>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</si>
  <si>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</si>
  <si>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</si>
  <si>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</si>
  <si>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</si>
  <si>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</si>
  <si>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</si>
  <si>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</si>
  <si>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</si>
  <si>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</si>
  <si>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</si>
  <si>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</si>
  <si>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</si>
  <si>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</si>
  <si>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</si>
  <si>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</si>
  <si>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</si>
  <si>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</si>
  <si>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</si>
  <si>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</si>
  <si>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</si>
  <si>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</si>
  <si>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</si>
  <si>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</si>
  <si>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</si>
  <si>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</si>
  <si>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</si>
  <si>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</si>
  <si>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</si>
  <si>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</si>
  <si>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</si>
  <si>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</si>
  <si>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</si>
  <si>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</si>
  <si>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</si>
  <si>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</si>
  <si>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</si>
  <si>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</si>
  <si>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</si>
  <si>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</si>
  <si>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</si>
  <si>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</si>
  <si>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</si>
  <si>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</si>
  <si>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</si>
  <si>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</si>
  <si>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</si>
  <si>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</si>
  <si>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</si>
  <si>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</si>
  <si>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</si>
  <si>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</si>
  <si>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</si>
  <si>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</si>
  <si>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</si>
  <si>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</si>
  <si>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</si>
  <si>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</si>
  <si>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</si>
  <si>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</si>
  <si>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</si>
  <si>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</si>
  <si>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</si>
  <si>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</si>
  <si>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</si>
  <si>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</si>
  <si>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</si>
  <si>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</si>
  <si>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</si>
  <si>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</si>
  <si>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</si>
  <si>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</si>
  <si>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</si>
  <si>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</si>
  <si>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</si>
  <si>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</si>
  <si>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</si>
  <si>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</si>
  <si>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</si>
  <si>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</si>
  <si>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</si>
  <si>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</si>
  <si>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</si>
  <si>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</si>
  <si>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</si>
  <si>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</si>
  <si>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</si>
  <si>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</si>
  <si>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</si>
  <si>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</si>
  <si>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</si>
  <si>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</si>
  <si>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</si>
  <si>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</si>
  <si>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</si>
  <si>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</si>
  <si>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</si>
  <si>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</si>
  <si>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</si>
  <si>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</si>
  <si>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</si>
  <si>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</si>
  <si>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</si>
  <si>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</si>
  <si>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</si>
  <si>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</si>
  <si>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</si>
  <si>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</si>
  <si>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</si>
  <si>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</si>
  <si>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</si>
  <si>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</si>
  <si>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</si>
  <si>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</si>
  <si>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</si>
  <si>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</si>
  <si>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</si>
  <si>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</si>
  <si>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</si>
  <si>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</si>
  <si>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</si>
  <si>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</si>
  <si>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</si>
  <si>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</si>
  <si>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</si>
  <si>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</si>
  <si>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</si>
  <si>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</si>
  <si>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</si>
  <si>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</si>
  <si>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</si>
  <si>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</si>
  <si>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</si>
  <si>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</si>
  <si>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</si>
  <si>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</si>
  <si>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</si>
  <si>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</si>
  <si>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</si>
  <si>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</si>
  <si>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</si>
  <si>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</si>
  <si>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</si>
  <si>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</si>
  <si>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</si>
  <si>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</si>
  <si>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</si>
  <si>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</si>
  <si>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</si>
  <si>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</si>
  <si>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</si>
  <si>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</si>
  <si>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</si>
  <si>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</si>
  <si>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</si>
  <si>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</si>
  <si>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</si>
  <si>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</si>
  <si>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</si>
  <si>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</si>
  <si>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</si>
  <si>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</si>
  <si>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</si>
  <si>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</si>
  <si>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</si>
  <si>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</si>
  <si>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</si>
  <si>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</si>
  <si>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</si>
  <si>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</si>
  <si>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</si>
  <si>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</si>
  <si>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</si>
  <si>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</si>
  <si>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</si>
  <si>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</si>
  <si>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</si>
  <si>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</si>
  <si>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</si>
  <si>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</si>
  <si>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</si>
  <si>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</si>
  <si>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</si>
  <si>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</si>
  <si>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</si>
  <si>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</si>
  <si>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</si>
  <si>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</si>
  <si>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</si>
  <si>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</si>
  <si>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</si>
  <si>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</si>
  <si>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</si>
  <si>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</si>
  <si>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</si>
  <si>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</si>
  <si>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</si>
  <si>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</si>
  <si>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</si>
  <si>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</si>
  <si>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</si>
  <si>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</si>
  <si>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</si>
  <si>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</si>
  <si>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</si>
  <si>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</si>
  <si>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</si>
  <si>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</si>
  <si>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</si>
  <si>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</si>
  <si>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</si>
  <si>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</si>
  <si>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</si>
  <si>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</si>
  <si>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</si>
  <si>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</si>
  <si>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</si>
  <si>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</si>
  <si>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</si>
  <si>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</si>
  <si>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</si>
  <si>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</si>
  <si>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</si>
  <si>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</si>
  <si>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</si>
  <si>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</si>
  <si>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</si>
  <si>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</si>
  <si>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</si>
  <si>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</si>
  <si>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</si>
  <si>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</si>
  <si>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</si>
  <si>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</si>
  <si>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</si>
  <si>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</si>
  <si>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</si>
  <si>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</si>
  <si>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</si>
  <si>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</si>
  <si>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</si>
  <si>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</si>
  <si>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</si>
  <si>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</si>
  <si>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</si>
  <si>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</si>
  <si>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</si>
  <si>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</si>
  <si>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</si>
  <si>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</si>
  <si>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</si>
  <si>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</si>
  <si>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</si>
  <si>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</si>
  <si>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</si>
  <si>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</si>
  <si>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</si>
  <si>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</si>
  <si>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</si>
  <si>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</si>
  <si>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</si>
  <si>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</si>
  <si>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</si>
  <si>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</si>
  <si>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</si>
  <si>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</si>
  <si>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</si>
  <si>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</si>
  <si>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</si>
  <si>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</si>
  <si>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</si>
  <si>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</si>
  <si>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</si>
  <si>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</si>
  <si>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</si>
  <si>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</si>
  <si>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</si>
  <si>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</si>
  <si>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</si>
  <si>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</si>
  <si>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</si>
  <si>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</si>
  <si>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</si>
  <si>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</si>
  <si>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</si>
  <si>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</si>
  <si>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</si>
  <si>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</si>
  <si>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</si>
  <si>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</si>
  <si>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</si>
  <si>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</si>
  <si>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</si>
  <si>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</si>
  <si>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</si>
  <si>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</si>
  <si>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</si>
  <si>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</si>
  <si>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</si>
  <si>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</si>
  <si>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</si>
  <si>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</si>
  <si>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</si>
  <si>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</si>
  <si>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</si>
  <si>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</si>
  <si>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</si>
  <si>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</si>
  <si>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</si>
  <si>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</si>
  <si>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</si>
  <si>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</si>
  <si>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</si>
  <si>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</si>
  <si>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</si>
  <si>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</si>
  <si>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</si>
  <si>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</si>
  <si>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</si>
  <si>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</si>
  <si>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</si>
  <si>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</si>
  <si>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</si>
  <si>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</si>
  <si>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</si>
  <si>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</si>
  <si>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</si>
  <si>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</si>
  <si>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</si>
  <si>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</si>
  <si>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</si>
  <si>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</si>
  <si>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</si>
  <si>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</si>
  <si>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</si>
  <si>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</si>
  <si>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</si>
  <si>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</si>
  <si>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</si>
  <si>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</si>
  <si>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</si>
  <si>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</si>
  <si>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</si>
  <si>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</si>
  <si>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</si>
  <si>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</si>
  <si>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</si>
  <si>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</si>
  <si>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</si>
  <si>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</si>
  <si>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</si>
  <si>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</si>
  <si>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</si>
  <si>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</si>
  <si>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</si>
  <si>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</si>
  <si>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</si>
  <si>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</si>
  <si>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TABS 36 CDLAC Housing Pools</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</si>
  <si>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</si>
  <si>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</si>
  <si>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</si>
  <si>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</si>
  <si>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</si>
  <si>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</si>
  <si>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</si>
  <si>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</si>
  <si>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</si>
  <si>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</si>
  <si>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</si>
  <si>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</si>
  <si>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</si>
  <si>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</si>
  <si>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</si>
  <si>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</si>
  <si>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</si>
  <si>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r>
      <t xml:space="preserve">Amort. Term </t>
    </r>
    <r>
      <rPr>
        <sz val="8"/>
        <rFont val="Arial"/>
        <family val="2"/>
      </rPr>
      <t>(months)</t>
    </r>
  </si>
  <si>
    <t>Fixed/ Variable</t>
  </si>
  <si>
    <r>
      <t xml:space="preserve">Term </t>
    </r>
    <r>
      <rPr>
        <sz val="8"/>
        <rFont val="Arial"/>
        <family val="2"/>
      </rPr>
      <t>(months)</t>
    </r>
  </si>
  <si>
    <t>Evidence of Committed Leveraged Soft Financing for CDLAC Scoring</t>
  </si>
  <si>
    <t xml:space="preserve">OPTION 3:  Restrictions are consistent with the restrictions of a public funding source awarded under NOFAs issued on or before December 31, 2020 </t>
  </si>
  <si>
    <t>Non-Targeted</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</si>
  <si>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</si>
  <si>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</si>
  <si>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</si>
  <si>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</si>
  <si>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</si>
  <si>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</si>
  <si>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</si>
  <si>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</si>
  <si>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</si>
  <si>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</si>
  <si>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</si>
  <si>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</si>
  <si>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</si>
  <si>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</si>
  <si>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</si>
  <si>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</si>
  <si>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</si>
  <si>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</si>
  <si>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</si>
  <si>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</si>
  <si>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</si>
  <si>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</si>
  <si>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</si>
  <si>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</si>
  <si>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</si>
  <si>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</si>
  <si>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</si>
  <si>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</si>
  <si>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</si>
  <si>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</si>
  <si>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</si>
  <si>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</si>
  <si>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</si>
  <si>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</si>
  <si>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</si>
  <si>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</si>
  <si>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</si>
  <si>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</si>
  <si>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</si>
  <si>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</si>
  <si>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</si>
  <si>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</si>
  <si>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</si>
  <si>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</si>
  <si>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</si>
  <si>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</si>
  <si>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</si>
  <si>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</si>
  <si>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</si>
  <si>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</si>
  <si>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</si>
  <si>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</si>
  <si>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</si>
  <si>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</si>
  <si>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</si>
  <si>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</si>
  <si>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</si>
  <si>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</si>
  <si>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</si>
  <si>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</si>
  <si>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</si>
  <si>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</si>
  <si>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</si>
  <si>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</si>
  <si>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</si>
  <si>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</si>
  <si>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</si>
  <si>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</si>
  <si>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</si>
  <si>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</si>
  <si>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</si>
  <si>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</si>
  <si>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</si>
  <si>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</si>
  <si>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</si>
  <si>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</si>
  <si>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</si>
  <si>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</si>
  <si>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</si>
  <si>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</si>
  <si>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</si>
  <si>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</si>
  <si>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</si>
  <si>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</si>
  <si>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</si>
  <si>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</si>
  <si>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</si>
  <si>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</si>
  <si>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</si>
  <si>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</si>
  <si>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</si>
  <si>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</si>
  <si>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</si>
  <si>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</si>
  <si>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</si>
  <si>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</si>
  <si>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</si>
  <si>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</si>
  <si>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</si>
  <si>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</si>
  <si>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</si>
  <si>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</si>
  <si>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</si>
  <si>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</si>
  <si>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</si>
  <si>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</si>
  <si>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</si>
  <si>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</si>
  <si>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</si>
  <si>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</si>
  <si>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</si>
  <si>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</si>
  <si>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</si>
  <si>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</si>
  <si>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</si>
  <si>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</si>
  <si>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</si>
  <si>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</si>
  <si>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</si>
  <si>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</si>
  <si>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</si>
  <si>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</si>
  <si>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</si>
  <si>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</si>
  <si>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</si>
  <si>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</si>
  <si>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</si>
  <si>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</si>
  <si>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</si>
  <si>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</si>
  <si>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</si>
  <si>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</si>
  <si>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</si>
  <si>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</si>
  <si>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</si>
  <si>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</si>
  <si>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</si>
  <si>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</si>
  <si>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</si>
  <si>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</si>
  <si>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</si>
  <si>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</si>
  <si>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</si>
  <si>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</si>
  <si>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</si>
  <si>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</si>
  <si>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</si>
  <si>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</si>
  <si>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</si>
  <si>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</si>
  <si>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With respect to New Construction Projects, at least 10% of tax credit units shall be restricted at or below 30% of area median income and an additional 10% of tax credits units shall be restricted at or below 50% of area median income.</t>
  </si>
  <si>
    <t>m.</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</si>
  <si>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</si>
  <si>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</si>
  <si>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</si>
  <si>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</si>
  <si>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</si>
  <si>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</si>
  <si>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</si>
  <si>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</si>
  <si>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</si>
  <si>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</si>
  <si>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</si>
  <si>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</si>
  <si>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</si>
  <si>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</si>
  <si>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</si>
  <si>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</si>
  <si>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</si>
  <si>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</si>
  <si>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</si>
  <si>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</si>
  <si>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</si>
  <si>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</si>
  <si>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</si>
  <si>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</si>
  <si>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</si>
  <si>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</si>
  <si>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</si>
  <si>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</si>
  <si>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</si>
  <si>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</si>
  <si>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</si>
  <si>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</si>
  <si>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</si>
  <si>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</si>
  <si>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</si>
  <si>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</si>
  <si>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</si>
  <si>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</si>
  <si>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</si>
  <si>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</si>
  <si>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</si>
  <si>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</si>
  <si>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</si>
  <si>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</si>
  <si>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</si>
  <si>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</si>
  <si>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</si>
  <si>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</si>
  <si>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</si>
  <si>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</si>
  <si>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</si>
  <si>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</si>
  <si>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</si>
  <si>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</si>
  <si>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</si>
  <si>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</si>
  <si>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</si>
  <si>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</si>
  <si>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</si>
  <si>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</si>
  <si>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</si>
  <si>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</si>
  <si>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</si>
  <si>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</si>
  <si>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</si>
  <si>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</si>
  <si>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</si>
  <si>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</si>
  <si>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</si>
  <si>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</si>
  <si>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</si>
  <si>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</si>
  <si>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</si>
  <si>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</si>
  <si>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</si>
  <si>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</si>
  <si>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</si>
  <si>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</si>
  <si>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</si>
  <si>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</si>
  <si>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</si>
  <si>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</si>
  <si>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</si>
  <si>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</si>
  <si>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</si>
  <si>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</si>
  <si>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</si>
  <si>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</si>
  <si>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</si>
  <si>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</si>
  <si>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</si>
  <si>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</si>
  <si>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</si>
  <si>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</si>
  <si>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</si>
  <si>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</si>
  <si>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</si>
  <si>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</si>
  <si>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</si>
  <si>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</si>
  <si>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</si>
  <si>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</si>
  <si>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</si>
  <si>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</si>
  <si>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</si>
  <si>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</si>
  <si>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</si>
  <si>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</si>
  <si>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</si>
  <si>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</si>
  <si>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</si>
  <si>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</si>
  <si>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</si>
  <si>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</si>
  <si>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</si>
  <si>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</si>
  <si>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</si>
  <si>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</si>
  <si>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</si>
  <si>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</si>
  <si>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</si>
  <si>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</si>
  <si>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</si>
  <si>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</si>
  <si>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</si>
  <si>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</si>
  <si>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</si>
  <si>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</si>
  <si>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</si>
  <si>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</si>
  <si>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</si>
  <si>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</si>
  <si>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</si>
  <si>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</si>
  <si>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</si>
  <si>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</si>
  <si>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</si>
  <si>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</si>
  <si>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</si>
  <si>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</si>
  <si>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</si>
  <si>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</si>
  <si>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</si>
  <si>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</si>
  <si>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</si>
  <si>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</si>
  <si>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</si>
  <si>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</si>
  <si>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</si>
  <si>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</si>
  <si>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</si>
  <si>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</si>
  <si>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</si>
  <si>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</si>
  <si>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</si>
  <si>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</si>
  <si>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</si>
  <si>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</si>
  <si>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</si>
  <si>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</si>
  <si>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</si>
  <si>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</si>
  <si>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</si>
  <si>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</si>
  <si>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</si>
  <si>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</si>
  <si>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</si>
  <si>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</si>
  <si>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</si>
  <si>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</si>
  <si>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</si>
  <si>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</si>
  <si>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</si>
  <si>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</si>
  <si>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</si>
  <si>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</si>
  <si>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</si>
  <si>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</si>
  <si>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</si>
  <si>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</si>
  <si>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</si>
  <si>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</si>
  <si>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</si>
  <si>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</si>
  <si>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</si>
  <si>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</si>
  <si>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</si>
  <si>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</si>
  <si>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</si>
  <si>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</si>
  <si>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</si>
  <si>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</si>
  <si>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</si>
  <si>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$500M (Farmworker Housing)</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</si>
  <si>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</si>
  <si>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</si>
  <si>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</si>
  <si>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</si>
  <si>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</si>
  <si>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</si>
  <si>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</si>
  <si>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</si>
  <si>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</si>
  <si>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</si>
  <si>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</si>
  <si>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</si>
  <si>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</si>
  <si>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</si>
  <si>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</si>
  <si>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</si>
  <si>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</si>
  <si>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</si>
  <si>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</si>
  <si>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</si>
  <si>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</si>
  <si>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</si>
  <si>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</si>
  <si>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</si>
  <si>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</si>
  <si>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</si>
  <si>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</si>
  <si>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</si>
  <si>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whose actual rents are less than the CTCAC rent limits:</t>
  </si>
  <si>
    <t>Preservation Rent</t>
  </si>
  <si>
    <t>Project is located in a neighborhood experiencing 
    neighborhood change*</t>
  </si>
  <si>
    <t>C. Population Benefit</t>
  </si>
  <si>
    <t>D. Location Benefit</t>
  </si>
  <si>
    <t>Resource Area Benefit</t>
  </si>
  <si>
    <t>Community Revitalization Benefit</t>
  </si>
  <si>
    <t>Transit/Walkability Benefit</t>
  </si>
  <si>
    <t>Seismic or Environmental Remediation</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</si>
  <si>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</si>
  <si>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</si>
  <si>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</si>
  <si>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</si>
  <si>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</si>
  <si>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</si>
  <si>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</si>
  <si>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</si>
  <si>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</si>
  <si>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</si>
  <si>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</si>
  <si>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</si>
  <si>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</si>
  <si>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</si>
  <si>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</si>
  <si>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</si>
  <si>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</si>
  <si>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</si>
  <si>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</si>
  <si>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</si>
  <si>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</si>
  <si>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</si>
  <si>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</si>
  <si>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</si>
  <si>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</si>
  <si>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</si>
  <si>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</si>
  <si>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</si>
  <si>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</si>
  <si>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</si>
  <si>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</si>
  <si>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</si>
  <si>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</si>
  <si>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</si>
  <si>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</si>
  <si>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</si>
  <si>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</si>
  <si>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</si>
  <si>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</si>
  <si>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</si>
  <si>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</si>
  <si>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</si>
  <si>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</si>
  <si>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</si>
  <si>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</si>
  <si>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</si>
  <si>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</si>
  <si>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</si>
  <si>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</si>
  <si>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</si>
  <si>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</si>
  <si>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</si>
  <si>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</si>
  <si>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</si>
  <si>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</si>
  <si>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</si>
  <si>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&lt;insert information&gt;</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</si>
  <si>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</si>
  <si>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</si>
  <si>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</si>
  <si>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</si>
  <si>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</si>
  <si>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</si>
  <si>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</si>
  <si>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</si>
  <si>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</si>
  <si>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</si>
  <si>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</si>
  <si>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</si>
  <si>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</si>
  <si>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</si>
  <si>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</si>
  <si>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</si>
  <si>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</si>
  <si>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</si>
  <si>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</si>
  <si>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</si>
  <si>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</si>
  <si>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Add general scope information outlined on the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</si>
  <si>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</si>
  <si>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</si>
  <si>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</si>
  <si>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</si>
  <si>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</si>
  <si>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</si>
  <si>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</si>
  <si>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</si>
  <si>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</si>
  <si>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</si>
  <si>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</si>
  <si>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Management Company Information</t>
  </si>
  <si>
    <t>Total # of Units</t>
  </si>
  <si>
    <t># of Market Rate</t>
  </si>
  <si>
    <t># of Affordable</t>
  </si>
  <si>
    <t>In CalHFA Portfolio</t>
  </si>
  <si>
    <t>Pipeline</t>
  </si>
  <si>
    <t>Other General Partner Experience (Enter # in Each Phase - pipeline, under construction, completed)</t>
  </si>
  <si>
    <t>Development Pipeline For Other General Partner</t>
  </si>
  <si>
    <t>If no or N/A, provide explanation:</t>
  </si>
  <si>
    <t>Co-Developer Experience (Enter # for Each Phase - pipeline, under construction, completed)</t>
  </si>
  <si>
    <t>Co-Developer/Co-General Partner</t>
  </si>
  <si>
    <t>Developer Experience (Enter # for Each Phase - pipeline, under construction, completed)</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</si>
  <si>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</si>
  <si>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</si>
  <si>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</si>
  <si>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</si>
  <si>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</si>
  <si>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</si>
  <si>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</si>
  <si>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</si>
  <si>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</si>
  <si>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</si>
  <si>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</si>
  <si>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</si>
  <si>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</si>
  <si>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</si>
  <si>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</si>
  <si>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</si>
  <si>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</si>
  <si>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</si>
  <si>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Services Company 2</t>
  </si>
  <si>
    <t>Services Company 1</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</si>
  <si>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</si>
  <si>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</si>
  <si>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</si>
  <si>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</si>
  <si>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</si>
  <si>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</si>
  <si>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</si>
  <si>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</si>
  <si>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</si>
  <si>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</si>
  <si>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</si>
  <si>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</si>
  <si>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3rd</t>
  </si>
  <si>
    <t>CTCAC</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</si>
  <si>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</si>
  <si>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</si>
  <si>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</si>
  <si>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</si>
  <si>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</si>
  <si>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</si>
  <si>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</si>
  <si>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</si>
  <si>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</si>
  <si>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</si>
  <si>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</si>
  <si>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</si>
  <si>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</si>
  <si>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</si>
  <si>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</si>
  <si>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</si>
  <si>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</si>
  <si>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</si>
  <si>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</si>
  <si>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</si>
  <si>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</si>
  <si>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</si>
  <si>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</si>
  <si>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</si>
  <si>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</si>
  <si>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</si>
  <si>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</si>
  <si>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</si>
  <si>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</si>
  <si>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</si>
  <si>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</si>
  <si>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</si>
  <si>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</si>
  <si>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</si>
  <si>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</si>
  <si>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</si>
  <si>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</si>
  <si>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</si>
  <si>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</si>
  <si>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</si>
  <si>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</si>
  <si>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</si>
  <si>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</si>
  <si>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</si>
  <si>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</si>
  <si>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</si>
  <si>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</si>
  <si>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</si>
  <si>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</si>
  <si>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</si>
  <si>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</si>
  <si>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</si>
  <si>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</si>
  <si>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</si>
  <si>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</si>
  <si>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</si>
  <si>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</si>
  <si>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</si>
  <si>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</si>
  <si>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</si>
  <si>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</si>
  <si>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</si>
  <si>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</si>
  <si>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</si>
  <si>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</si>
  <si>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</si>
  <si>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</si>
  <si>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</si>
  <si>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</si>
  <si>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</si>
  <si>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</si>
  <si>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</si>
  <si>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</si>
  <si>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</si>
  <si>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</si>
  <si>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</si>
  <si>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</si>
  <si>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</si>
  <si>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</si>
  <si>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</si>
  <si>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</si>
  <si>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</si>
  <si>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</si>
  <si>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</si>
  <si>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</si>
  <si>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</si>
  <si>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</si>
  <si>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</si>
  <si>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</si>
  <si>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</si>
  <si>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</si>
  <si>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</si>
  <si>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</si>
  <si>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</si>
  <si>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</si>
  <si>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</si>
  <si>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</si>
  <si>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</si>
  <si>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</si>
  <si>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</si>
  <si>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</si>
  <si>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</si>
  <si>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</si>
  <si>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</si>
  <si>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</si>
  <si>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</si>
  <si>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</si>
  <si>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</si>
  <si>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</si>
  <si>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</si>
  <si>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</si>
  <si>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</si>
  <si>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</si>
  <si>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</si>
  <si>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</si>
  <si>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</si>
  <si>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</si>
  <si>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</si>
  <si>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</si>
  <si>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</si>
  <si>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</si>
  <si>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</si>
  <si>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</si>
  <si>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</si>
  <si>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</si>
  <si>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</si>
  <si>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</si>
  <si>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</si>
  <si>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</si>
  <si>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</si>
  <si>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</si>
  <si>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</si>
  <si>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</si>
  <si>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</si>
  <si>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</si>
  <si>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</si>
  <si>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</si>
  <si>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</si>
  <si>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</si>
  <si>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</si>
  <si>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</si>
  <si>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New Con Density</t>
  </si>
  <si>
    <t>Points, Exceeding Min Income</t>
  </si>
  <si>
    <t>Points, Exceeding Min Rent</t>
  </si>
  <si>
    <t>Points, Experience</t>
  </si>
  <si>
    <t>Points, Housing Need</t>
  </si>
  <si>
    <t>Points, Leveraged Soft Resources</t>
  </si>
  <si>
    <t>Points, Readiness</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</si>
  <si>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</si>
  <si>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</si>
  <si>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</si>
  <si>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</si>
  <si>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</si>
  <si>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</si>
  <si>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</si>
  <si>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</si>
  <si>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</si>
  <si>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</si>
  <si>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</si>
  <si>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</si>
  <si>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</si>
  <si>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</si>
  <si>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</si>
  <si>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</si>
  <si>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</si>
  <si>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</si>
  <si>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</si>
  <si>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</si>
  <si>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</si>
  <si>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</si>
  <si>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CDLAC Region</t>
  </si>
  <si>
    <t>Residential &amp; Commercial</t>
  </si>
  <si>
    <t>CTCAC Region</t>
  </si>
  <si>
    <t>Total Residential Project Cost</t>
  </si>
  <si>
    <t>Scattered Site</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</si>
  <si>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</si>
  <si>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</si>
  <si>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</si>
  <si>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</si>
  <si>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sum item e</t>
  </si>
  <si>
    <t>Boost</t>
  </si>
  <si>
    <t>2025 FAIR MARKET RENTS</t>
  </si>
  <si>
    <t>Adjusted Unit Count</t>
  </si>
  <si>
    <t>2025 100% RENTS</t>
  </si>
  <si>
    <t xml:space="preserve">Federal tax credit factor must be at least $1.00 for self-syndication projects or at least $0.75 for all other projects.  </t>
  </si>
  <si>
    <t>Hybrid</t>
  </si>
  <si>
    <t>Sum of Tax-Exempt Construction Financing</t>
  </si>
  <si>
    <t xml:space="preserve">G. </t>
  </si>
  <si>
    <r>
      <t xml:space="preserve">CDLAC Pools and Set-Asides </t>
    </r>
    <r>
      <rPr>
        <sz val="10"/>
        <rFont val="Arial"/>
        <family val="2"/>
      </rPr>
      <t>(§ 5101)</t>
    </r>
  </si>
  <si>
    <t>Please indicate all applicable pools and set-asides:</t>
  </si>
  <si>
    <t>BIPOC Pool</t>
  </si>
  <si>
    <t>Acquisition/Rehabilitation Pool</t>
  </si>
  <si>
    <t>Rural Pool</t>
  </si>
  <si>
    <t>Homeless Set-Aside</t>
  </si>
  <si>
    <t>Extremely Low/Very Low Income (ELI/ VLI) Set-Aside</t>
  </si>
  <si>
    <t>Mixed Income Project (MIP) Set-Aside</t>
  </si>
  <si>
    <t>Evidence of recycled bond commitment, if applicable. CDLAC Reg. § 5102(b)(10)</t>
  </si>
  <si>
    <t xml:space="preserve">Acquisition/Rehabilitation Project Priorities </t>
  </si>
  <si>
    <t>The project does not result in a distribution of net project equity, as that term is defined in Section 10302(gg) of the CTCAC Regulations, to a general partner or a related party to the general partner. (There may be a buyout of a limited partner or equity distributed to a third party seller);</t>
  </si>
  <si>
    <t>There is no partial or full repayment of existing soft financing, except for loans less than or equal to the greater of $500,000 or 1.5% of the project’s total development costs or for temporary repayments that will be restored in the permanent financing; and</t>
  </si>
  <si>
    <t xml:space="preserve">1.  A project meeting all of the following criteria shall receive 10 points: </t>
  </si>
  <si>
    <t>(A) A project that meets the following shall receive 20 points:</t>
  </si>
  <si>
    <t xml:space="preserve">(B) A project that meets at least one of the following shall receive 9 points: </t>
  </si>
  <si>
    <t xml:space="preserve">(C) A project that meets at least one of the following shall receive 8 points: </t>
  </si>
  <si>
    <t xml:space="preserve">(D) A project that meets at least one of the following shall receive 7 points: </t>
  </si>
  <si>
    <t xml:space="preserve">(ii) A project being rehabilitated under the HUD Rental Assistance Demonstration (RAD) Program, or a rehabilitation project that has received a new Section 515 loan from the United States Department of Agriculture; </t>
  </si>
  <si>
    <t>(iv) A project with a pre-1999 HCD loan.</t>
  </si>
  <si>
    <t>(iii) A project that received an award from HCD’s Portfolio Reinvestment Program; or</t>
  </si>
  <si>
    <t>(i) A project that has previously received an allocation of Low-Income Housing Tax Credits where it has been greater than 20 years from the placed in service date; or</t>
  </si>
  <si>
    <t xml:space="preserve">(ii) A project that has never received an allocation of Low Income Housing Tax Credits. </t>
  </si>
  <si>
    <t>Total Points for Acquisition/Rehabilitation Project Priorities:</t>
  </si>
  <si>
    <t xml:space="preserve">One point for each full one percent that the average affordability of the tax credit units is more than ten percent below the average adjusted rental rates of comparable market-rate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</si>
  <si>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r>
      <rPr>
        <sz val="10"/>
        <rFont val="Aptos Narrow"/>
        <family val="2"/>
      </rPr>
      <t>•</t>
    </r>
    <r>
      <rPr>
        <sz val="10"/>
        <rFont val="Arial"/>
        <family val="2"/>
      </rPr>
      <t xml:space="preserve"> Enforceable financing commitments, as defined in CTCAC Reg. §10325(f)(3), for all construction financing; 
•  Demonstration that construction can comence within 180 days* of the bond allocation as documented by the requirements described in CDLAC Reg. §5105(h);
•  Commitments, as described in CTCAC Reg. §10325(f)(8)(A)-(D), for all deferred-payment financing, residual receipts payment financing, grants and subsidies shown in the application.</t>
    </r>
  </si>
  <si>
    <t>Access to Opportunity</t>
  </si>
  <si>
    <t xml:space="preserve">The project does not receive points pursuant to Section 5105(i)(1)(A).
</t>
  </si>
  <si>
    <t>Site Amenities</t>
  </si>
  <si>
    <t>Acquisition/Rehabilitation Project:</t>
  </si>
  <si>
    <t>(i) Extremely Low Income Benefit</t>
  </si>
  <si>
    <t>(ii) Special Populations Benefit</t>
  </si>
  <si>
    <t>*After preliminary reservation, CDLAC will randomly assign 180-day, 201-day, or 222-day deadlines for all projects receiving a bond allocation within each round.
If no construction lender is involved, evidence of equity partner admission and initial disbursement must be submitted by the deadline. CDLAC will conduct a financial feasibility and cost reasonableness review upon receipt. In cases of federally or state-declared emergencies (or similar events, at the Executive Director’s discretion), extensions may be granted. 
Failure to meet the deadline or provide sufficient documentation may result in the Executive Director issuing a notice rescinding the bond allocation for failure to be ready to proceed. The Committee may issue negative points under Section 5105(m) in connection with any allocation rescission.</t>
  </si>
  <si>
    <t>Points are available to applications documenting each of the items below:</t>
  </si>
  <si>
    <t>Project applied for the Homeless Set-Aside:</t>
  </si>
  <si>
    <t>Units designated for Homeless households:</t>
  </si>
  <si>
    <t>City Point in Time Homeless Count:</t>
  </si>
  <si>
    <t>City Population (Census Estimate):</t>
  </si>
  <si>
    <t>City Homelessness Rate Per 100k:</t>
  </si>
  <si>
    <t>County Point in Time Homeless Count:</t>
  </si>
  <si>
    <t>County Population (Census Estimate):</t>
  </si>
  <si>
    <t>County Homelessness Rate Per 100k:</t>
  </si>
  <si>
    <t>Provide documentation of Acquisition/Rehabilitation Pool status:  identify which criterion is applicable to the project, and include all necessary supporting documentation.</t>
  </si>
  <si>
    <t>If applying to the Homeless Set-Aside, provide documentation of the most recent Point in Time homeless population count for the city, if over 100,000 residents, and county the project is located in. Additionally, provide documentation of the most recent Census population estimate for the city, if applicable, and the county. The Census population estimate must be from the same year as the most recent Point in Time count.</t>
  </si>
  <si>
    <t>(i) Resource Area Benefit</t>
  </si>
  <si>
    <t>(ii) Community Revitalization Benefit</t>
  </si>
  <si>
    <t>(iii) Transit/Walkability Benefit</t>
  </si>
  <si>
    <t>Prevailing Wages / Labor</t>
  </si>
  <si>
    <t>The project's general contractor has an enforceable commitment to participate in state-approved apprenticeship training programs and provide health care for construction workers and their dependents</t>
  </si>
  <si>
    <t>Project is subject to a project labor agreement* that requires the employment of construction workers who are paid at least state or federal prevailing wages</t>
  </si>
  <si>
    <t>AMI Band</t>
  </si>
  <si>
    <t>Percent</t>
  </si>
  <si>
    <t>30 AMI</t>
  </si>
  <si>
    <t>50 AMI</t>
  </si>
  <si>
    <t>70 to 80 AMI</t>
  </si>
  <si>
    <t>For projects applying under Section 10325 or Section 10326 of these regulations that include one or more of the energy efficiency/resource conservation/indoor air quality items.</t>
  </si>
  <si>
    <t>Farmworker or Native American Housing</t>
  </si>
  <si>
    <t>The project is a Farmworker Housing project or a project which would be eligible for the Native American apportionment, as defined in CTCAC Reg. Section 10315(c)(2).</t>
  </si>
  <si>
    <t>Total Points for Farmworker or Native American Housing:</t>
  </si>
  <si>
    <t>Total Points for Access to Opportunity:</t>
  </si>
  <si>
    <t>Evidence of enforceable financing commitments. CDLAC Reg. § 5102(b)(5)</t>
  </si>
  <si>
    <r>
      <t xml:space="preserve">In the Rehabilitation section Attachment 8-B and Attachment 8-C, provide documentation of Acquisition/Rehabilitation Pool status:  a minimum of $60,000 in hard costs per unit expended only on immediate health and safety improvements, seismic and accessibility improvements and/or the replacement of major systems, </t>
    </r>
    <r>
      <rPr>
        <b/>
        <sz val="10"/>
        <rFont val="Arial"/>
        <family val="2"/>
      </rPr>
      <t>as evidenced by the Capital Needs Assessment Report.</t>
    </r>
  </si>
  <si>
    <t>2026 CDLAC-CTCAC JOINT APPLICATION CHECKLIST</t>
  </si>
  <si>
    <t>2026 4% FEDERAL LOW-INCOME HOUSING TAX CREDITS WITH TAX-EXEMPT BONDS</t>
  </si>
  <si>
    <t>https://www.treasurer.ca.gov/ctcac/2026/4-instructions.asp</t>
  </si>
  <si>
    <t>http://www.treasurer.ca.gov/ctcac/assignments.asp</t>
  </si>
  <si>
    <t>http://www.treasurer.ca.gov/ctcac/contacts.asp</t>
  </si>
  <si>
    <t>, 2026 at</t>
  </si>
  <si>
    <t xml:space="preserve">Will project receive tax-exempt bond financing for more than 25% of the aggregate </t>
  </si>
  <si>
    <t>https://www.treasurer.ca.gov/ctcac/forms/reserve-certification.docx</t>
  </si>
  <si>
    <t>http://www.treasurer.ca.gov/ctcac/opportunity.asp</t>
  </si>
  <si>
    <t>If requesting tiebreaker credit for a project located in a neighborhood identified as experiencing neighborhood change, provide a copy of the HCD Neighborhood Change Map showing the project area. An applicant may choose to utilize the census tract or census block group resource designation from the Neighborhood Change Map in effect when the initial site control was obtained up to seven calendar years prior to the application.</t>
  </si>
  <si>
    <t>Acquisition/Rehabilitation Project Priorities</t>
  </si>
  <si>
    <t>TAB 29 CDLAC Points for Acquisition/Rehabilitation and New Construction</t>
  </si>
  <si>
    <t>Points, Acq/Rehab Priorities</t>
  </si>
  <si>
    <t>Points, Access to Opportunity</t>
  </si>
  <si>
    <t>Section 5105(b) of the CDLAC Regulations</t>
  </si>
  <si>
    <t>Section 5105(c) of the CDLAC Regulations</t>
  </si>
  <si>
    <t>Section 5105(h) of CDLAC Regulations</t>
  </si>
  <si>
    <t>Commitment(s) or other evidence of all deferred-payment financing, residual receipts payment financing, grants and subsidies, if not provided in Tab 20.</t>
  </si>
  <si>
    <t>Does the Sponsor/Developer alone meet the minimum 7 points requirement pursuant to CDLAC Regulations Section 5105(f)?</t>
  </si>
  <si>
    <t>Does the Co-Sponsor/Developer alone meet the minimum 7 points requirement pursuant to CDLAC Regulations Section 5105(f)?</t>
  </si>
  <si>
    <t>Does the management company meet the minimum 3 points requirement pursuant to CDLAC Regulations Section 5105(f)?</t>
  </si>
  <si>
    <t>The sponsor is a BIPOC Entity meeting all requirements of Section 5105(f)(1)(C)</t>
  </si>
  <si>
    <t xml:space="preserve">A project scoring maximum New Construction Density and Local Incentives points under Section 5105(c) </t>
  </si>
  <si>
    <t xml:space="preserve"> - receives points as a Large Family or Special Needs project pursuant to the conditions specified in Section 5105(i)(1)(A); and</t>
  </si>
  <si>
    <t>Section 5003(c)(4) CDLAC Regulations.</t>
  </si>
  <si>
    <t xml:space="preserve">Bond Allocation greater than 30% of aggregate depreciable basis plus land
</t>
  </si>
  <si>
    <t>Section 5108 of the CDLAC Regulations</t>
  </si>
  <si>
    <t xml:space="preserve">Include approved request from Executive Director and documentation showing that: 
(1) the request does not exceed 40%, (2) the project’s permanent financing supports the larger allocation award, and (3) the project is unable to obtain recycled bonds from the applicant. 
</t>
  </si>
  <si>
    <t>Section 5109 of the CDLAC Regulations</t>
  </si>
  <si>
    <t>Will this project be scattered site? (Defined by CDLAC, Article 1, Section 5100)</t>
  </si>
  <si>
    <t>Is this project a Resyndication of a current CTCAC project?</t>
  </si>
  <si>
    <t>A description of any plans for employing desk or security staff in lieu of on-site manager units and Executive Director's approval in compliance with CTCAC Reg. § 10325(f)(7)(J).</t>
  </si>
  <si>
    <t>https://www.treasurer.ca.gov/ctcac/2026/rural-status.pdf</t>
  </si>
  <si>
    <t>The project is a new construction large family housing type project, except for an inclusionary project as defined in Section 10325(c)(9)(C), and the site is located in a census tract designated on the CTCAC/HCD Opportunity Area Map as Highest or High Resource.</t>
  </si>
  <si>
    <t>4% 2026 TBLs</t>
  </si>
  <si>
    <t>9% 2026 TBLs</t>
  </si>
  <si>
    <t>January 21, 2026 Version</t>
  </si>
  <si>
    <t>Limited to Rehabilitation or Acquisition and Rehabilitation Projects</t>
  </si>
  <si>
    <t>2. SELECT ONE OPTION BELOW</t>
  </si>
  <si>
    <t>(i) A replacement or rehabilitation project approved by HUD pursuant to a Section 18 or 22 Demolition/Disposition authorization;</t>
  </si>
  <si>
    <t>(i) A project with at least $120,000 in hard construction costs per tax credit unit and is replacing at least two major building systems;</t>
  </si>
  <si>
    <t>(ii) A project applying as an SRO housing type, as defined in Section 10325(g) of the CTCAC regulations, and the rehabilitation will add a bathroom and complete kitchen to each unit;</t>
  </si>
  <si>
    <t>(iii) A component one project being rehabilitated under the HUD Rental Assistance Demonstration (RAD) Program; or</t>
  </si>
  <si>
    <t>(iv) A project that received an award from HCD’s Portfolio Reinvestment Program.</t>
  </si>
  <si>
    <t>Moraga Park Street LP</t>
  </si>
  <si>
    <t>Park Street Apartments</t>
  </si>
  <si>
    <t>Moraga Park Street LLC</t>
  </si>
  <si>
    <t>5251 Ericson Way, Suite A</t>
  </si>
  <si>
    <t>Arcata</t>
  </si>
  <si>
    <t>CA</t>
  </si>
  <si>
    <t>Administrative GP</t>
  </si>
  <si>
    <t>348 Park Street</t>
  </si>
  <si>
    <t>Moraga</t>
  </si>
  <si>
    <t>May</t>
  </si>
  <si>
    <t>Daniel J. Johnson</t>
  </si>
  <si>
    <t>Member</t>
  </si>
  <si>
    <t>Town of Moraga</t>
  </si>
  <si>
    <t>Scott Mitnick</t>
  </si>
  <si>
    <t>329 Rheem Boulevard</t>
  </si>
  <si>
    <t>902-588-7020</t>
  </si>
  <si>
    <t>smitnick@moraga.ca.us</t>
  </si>
  <si>
    <t>255-140-052-2</t>
  </si>
  <si>
    <t>40%/60%</t>
  </si>
  <si>
    <t>Chris Dart</t>
  </si>
  <si>
    <t>707-822-9000</t>
  </si>
  <si>
    <t>cdart@danco-group.com</t>
  </si>
  <si>
    <t>Johnson &amp; Johnson Investments, LLC</t>
  </si>
  <si>
    <t>Community Revitalization and Development Corporation</t>
  </si>
  <si>
    <t>1918 West Street</t>
  </si>
  <si>
    <t>Redding</t>
  </si>
  <si>
    <t>David Rutledge</t>
  </si>
  <si>
    <t>530-241-6960</t>
  </si>
  <si>
    <t>david@crdc-housing.org</t>
  </si>
  <si>
    <t>Danco Communities</t>
  </si>
  <si>
    <t>Kira Heyden</t>
  </si>
  <si>
    <t>kheyden@danco-group.com</t>
  </si>
  <si>
    <t>Developer</t>
  </si>
  <si>
    <t>Arcata, CA 95521</t>
  </si>
  <si>
    <t>Odu &amp; Associates</t>
  </si>
  <si>
    <t>31805 Temecula Pkwy #720</t>
  </si>
  <si>
    <t>Temecula, CA 92592-8203</t>
  </si>
  <si>
    <t>Nkechi Odu</t>
  </si>
  <si>
    <t>310-346-5491</t>
  </si>
  <si>
    <t>nkechi@odulaw.com</t>
  </si>
  <si>
    <t>Hunt Hale Jones Architects</t>
  </si>
  <si>
    <t>444 Spear Street #105</t>
  </si>
  <si>
    <t>San Francisco, CA 94105</t>
  </si>
  <si>
    <t>Dan Hale</t>
  </si>
  <si>
    <t>415-568-3833</t>
  </si>
  <si>
    <t>415-288-0288</t>
  </si>
  <si>
    <t>dhale@hhja.com</t>
  </si>
  <si>
    <t>Danco Builders Northwest</t>
  </si>
  <si>
    <t>Propp Christensen Caniglia LLP</t>
  </si>
  <si>
    <t>9261 Sierra College Boulevard</t>
  </si>
  <si>
    <t>Roseville, CA 95661</t>
  </si>
  <si>
    <t>Justin Gierth</t>
  </si>
  <si>
    <t>916-847-2738</t>
  </si>
  <si>
    <t>jgierth@pccllp.com</t>
  </si>
  <si>
    <t>Redwood Energy</t>
  </si>
  <si>
    <t>1887 Q Street</t>
  </si>
  <si>
    <t>Sean Armstrong</t>
  </si>
  <si>
    <t>707-822-1857</t>
  </si>
  <si>
    <t>sarmstrong@gmail.com</t>
  </si>
  <si>
    <t>Boston Financial</t>
  </si>
  <si>
    <t>8335 Sunset Blvd, Suite 203</t>
  </si>
  <si>
    <t>West Hollywood, CA 90069</t>
  </si>
  <si>
    <t>Roy Faerber</t>
  </si>
  <si>
    <t>310-860-4550</t>
  </si>
  <si>
    <t>roy.faerber@bfim.com</t>
  </si>
  <si>
    <t>Laurin Associates</t>
  </si>
  <si>
    <t>1501 Sports Drive</t>
  </si>
  <si>
    <t>Sacramento, CA 96834</t>
  </si>
  <si>
    <t>Stefanie Wiliiams</t>
  </si>
  <si>
    <t>916-372-6100</t>
  </si>
  <si>
    <t>916-491-6108</t>
  </si>
  <si>
    <t>swilliams@laurinassociates.com</t>
  </si>
  <si>
    <t>CMFA</t>
  </si>
  <si>
    <t>2111 Palomar Airport Rd, Suite 320</t>
  </si>
  <si>
    <t>Carlsbad, CA 92011</t>
  </si>
  <si>
    <t>Anthony Stubbs</t>
  </si>
  <si>
    <t>760-930-1333</t>
  </si>
  <si>
    <t>760-683-3390</t>
  </si>
  <si>
    <t>astubbs@smfa-ca.com</t>
  </si>
  <si>
    <t>Danco Property Management</t>
  </si>
  <si>
    <t>Ashley Rementer</t>
  </si>
  <si>
    <t>arementer@danco-group.com</t>
  </si>
  <si>
    <t>N/A LP Owns the Property</t>
  </si>
  <si>
    <t>Other (Specify below)</t>
  </si>
  <si>
    <t>4 Story Building with Ground Floor Parking Garage</t>
  </si>
  <si>
    <t>R-2</t>
  </si>
  <si>
    <t>Citi Bank Tax Exempt Loan</t>
  </si>
  <si>
    <t>Citi Bank Taxable Loan</t>
  </si>
  <si>
    <t>Two Embarcadero Center, 17th Floor</t>
  </si>
  <si>
    <t>San Francisco, CA 94111</t>
  </si>
  <si>
    <t>Jacob St. Onge</t>
  </si>
  <si>
    <t>415-658-3118</t>
  </si>
  <si>
    <t>Construction Loan</t>
  </si>
  <si>
    <t>Citi Bank Permanent Loan</t>
  </si>
  <si>
    <t>County Gap Financing</t>
  </si>
  <si>
    <t>GC Loan</t>
  </si>
  <si>
    <t>Boston Financial Tax Credit Equity</t>
  </si>
  <si>
    <t>Loan</t>
  </si>
  <si>
    <t>Roy Faeber</t>
  </si>
  <si>
    <t>Equity</t>
  </si>
  <si>
    <t>Permanent Loan</t>
  </si>
  <si>
    <t>5251 Ericson Way</t>
  </si>
  <si>
    <t>1025 Escobar Street</t>
  </si>
  <si>
    <t>Martinez, CA 95443</t>
  </si>
  <si>
    <t>CUAC</t>
  </si>
  <si>
    <t>California Utility Allowance Calculator - Redwood Energy</t>
  </si>
  <si>
    <t>Inspection Fees</t>
  </si>
  <si>
    <t>Borrower's Attorney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</si>
</sst>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9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
      <b/>
      <sz val="10"/>
      <color theme="9" tint="-0.249977111117893"/>
      <name val="Arial"/>
      <family val="2"/>
    </font>
    <font>
      <b/>
      <sz val="13"/>
      <color theme="9" tint="-0.249977111117893"/>
      <name val="Arial"/>
      <family val="2"/>
    </font>
    <font>
      <sz val="10"/>
      <color indexed="8"/>
      <name val="Arial"/>
      <family val="2"/>
    </font>
    <font>
      <sz val="10"/>
      <color indexed="8"/>
      <name val="Arial"/>
      <family val="2"/>
    </font>
    <font>
      <sz val="10"/>
      <name val="Courier"/>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9613">
    <xf numFmtId="0" fontId="0" fillId="0" borderId="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4"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7" borderId="0" applyNumberFormat="0" applyBorder="0" applyAlignment="0" applyProtection="0"/>
    <xf numFmtId="0" fontId="87" fillId="28" borderId="0" applyNumberFormat="0" applyBorder="0" applyAlignment="0" applyProtection="0"/>
    <xf numFmtId="0" fontId="87" fillId="28" borderId="0" applyNumberFormat="0" applyBorder="0" applyAlignment="0" applyProtection="0"/>
    <xf numFmtId="0" fontId="87" fillId="29" borderId="0" applyNumberFormat="0" applyBorder="0" applyAlignment="0" applyProtection="0"/>
    <xf numFmtId="0" fontId="87" fillId="29"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2" borderId="0" applyNumberFormat="0" applyBorder="0" applyAlignment="0" applyProtection="0"/>
    <xf numFmtId="0" fontId="87" fillId="32"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88" fillId="35" borderId="0" applyNumberFormat="0" applyBorder="0" applyAlignment="0" applyProtection="0"/>
    <xf numFmtId="0" fontId="88" fillId="35" borderId="0" applyNumberFormat="0" applyBorder="0" applyAlignment="0" applyProtection="0"/>
    <xf numFmtId="0" fontId="89" fillId="36" borderId="18" applyNumberFormat="0" applyAlignment="0" applyProtection="0"/>
    <xf numFmtId="0" fontId="89" fillId="36" borderId="18" applyNumberFormat="0" applyAlignment="0" applyProtection="0"/>
    <xf numFmtId="0" fontId="90" fillId="37" borderId="19"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78"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62" fillId="0" borderId="0" applyFont="0" applyFill="0" applyBorder="0" applyAlignment="0" applyProtection="0"/>
    <xf numFmtId="43" fontId="27" fillId="0" borderId="0" applyFont="0" applyFill="0" applyBorder="0" applyAlignment="0" applyProtection="0"/>
    <xf numFmtId="43" fontId="62" fillId="0" borderId="0" applyFont="0" applyFill="0" applyBorder="0" applyAlignment="0" applyProtection="0"/>
    <xf numFmtId="44" fontId="79"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79" fillId="0" borderId="0" applyFont="0" applyFill="0" applyBorder="0" applyAlignment="0" applyProtection="0"/>
    <xf numFmtId="44" fontId="27" fillId="0" borderId="0" applyFont="0" applyFill="0" applyBorder="0" applyAlignment="0" applyProtection="0"/>
    <xf numFmtId="44" fontId="81"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27"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8"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62" fillId="0" borderId="0" applyFont="0" applyFill="0" applyBorder="0" applyAlignment="0" applyProtection="0"/>
    <xf numFmtId="44" fontId="71"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27" fillId="0" borderId="0" applyFont="0" applyFill="0" applyBorder="0" applyAlignment="0" applyProtection="0"/>
    <xf numFmtId="44" fontId="72" fillId="0" borderId="0" applyFont="0" applyFill="0" applyBorder="0" applyAlignment="0" applyProtection="0"/>
    <xf numFmtId="44" fontId="27" fillId="0" borderId="0" applyFont="0" applyFill="0" applyBorder="0" applyAlignment="0" applyProtection="0"/>
    <xf numFmtId="44" fontId="78"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27"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78"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27"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27" fillId="0" borderId="0" applyFont="0" applyFill="0" applyBorder="0" applyAlignment="0" applyProtection="0"/>
    <xf numFmtId="44" fontId="73"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77" fillId="0" borderId="0" applyFont="0" applyFill="0" applyBorder="0" applyAlignment="0" applyProtection="0"/>
    <xf numFmtId="44" fontId="27" fillId="0" borderId="0" applyFont="0" applyFill="0" applyBorder="0" applyAlignment="0" applyProtection="0"/>
    <xf numFmtId="0" fontId="91" fillId="0" borderId="0" applyNumberFormat="0" applyFill="0" applyBorder="0" applyAlignment="0" applyProtection="0"/>
    <xf numFmtId="0" fontId="92" fillId="38" borderId="0" applyNumberFormat="0" applyBorder="0" applyAlignment="0" applyProtection="0"/>
    <xf numFmtId="0" fontId="93" fillId="0" borderId="20" applyNumberFormat="0" applyFill="0" applyAlignment="0" applyProtection="0"/>
    <xf numFmtId="0" fontId="93" fillId="0" borderId="20" applyNumberFormat="0" applyFill="0" applyAlignment="0" applyProtection="0"/>
    <xf numFmtId="0" fontId="94" fillId="0" borderId="21" applyNumberFormat="0" applyFill="0" applyAlignment="0" applyProtection="0"/>
    <xf numFmtId="0" fontId="94" fillId="0" borderId="21" applyNumberFormat="0" applyFill="0" applyAlignment="0" applyProtection="0"/>
    <xf numFmtId="0" fontId="95" fillId="0" borderId="22" applyNumberFormat="0" applyFill="0" applyAlignment="0" applyProtection="0"/>
    <xf numFmtId="0" fontId="95" fillId="0" borderId="22"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83" fillId="0" borderId="0" applyNumberFormat="0" applyFill="0" applyBorder="0" applyAlignment="0" applyProtection="0">
      <alignment vertical="top"/>
      <protection locked="0"/>
    </xf>
    <xf numFmtId="0" fontId="96" fillId="39" borderId="18" applyNumberFormat="0" applyAlignment="0" applyProtection="0"/>
    <xf numFmtId="0" fontId="20" fillId="0" borderId="0" applyNumberFormat="0" applyBorder="0"/>
    <xf numFmtId="0" fontId="21" fillId="0" borderId="0" applyBorder="0" applyAlignment="0"/>
    <xf numFmtId="0" fontId="22" fillId="0" borderId="0" applyFill="0" applyBorder="0" applyAlignment="0"/>
    <xf numFmtId="0" fontId="97" fillId="0" borderId="23" applyNumberFormat="0" applyFill="0" applyAlignment="0" applyProtection="0"/>
    <xf numFmtId="0" fontId="98" fillId="40" borderId="0" applyNumberFormat="0" applyBorder="0" applyAlignment="0" applyProtection="0"/>
    <xf numFmtId="0" fontId="99" fillId="0" borderId="0"/>
    <xf numFmtId="0" fontId="62" fillId="0" borderId="0"/>
    <xf numFmtId="0" fontId="99" fillId="0" borderId="0"/>
    <xf numFmtId="0" fontId="62" fillId="0" borderId="0"/>
    <xf numFmtId="0" fontId="62"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0" fillId="0" borderId="0"/>
    <xf numFmtId="0" fontId="62" fillId="0" borderId="0"/>
    <xf numFmtId="169" fontId="63" fillId="0" borderId="0"/>
    <xf numFmtId="0" fontId="86" fillId="0" borderId="0"/>
    <xf numFmtId="0" fontId="27" fillId="0" borderId="0"/>
    <xf numFmtId="0" fontId="27" fillId="0" borderId="0"/>
    <xf numFmtId="0" fontId="68" fillId="0" borderId="0"/>
    <xf numFmtId="0" fontId="62" fillId="0" borderId="0"/>
    <xf numFmtId="0" fontId="68" fillId="0" borderId="0"/>
    <xf numFmtId="0" fontId="62" fillId="0" borderId="0"/>
    <xf numFmtId="0" fontId="74" fillId="0" borderId="0"/>
    <xf numFmtId="0" fontId="62"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4" fillId="0" borderId="0"/>
    <xf numFmtId="0" fontId="86" fillId="0" borderId="0"/>
    <xf numFmtId="0" fontId="86" fillId="0" borderId="0"/>
    <xf numFmtId="0" fontId="86"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86" fillId="0" borderId="0"/>
    <xf numFmtId="0" fontId="86" fillId="0" borderId="0"/>
    <xf numFmtId="0" fontId="86" fillId="0" borderId="0"/>
    <xf numFmtId="0" fontId="86" fillId="0" borderId="0"/>
    <xf numFmtId="0" fontId="74" fillId="0" borderId="0"/>
    <xf numFmtId="0" fontId="62" fillId="0" borderId="0">
      <alignment vertical="top"/>
    </xf>
    <xf numFmtId="0" fontId="86" fillId="0" borderId="0"/>
    <xf numFmtId="0" fontId="86" fillId="0" borderId="0"/>
    <xf numFmtId="0" fontId="86" fillId="0" borderId="0"/>
    <xf numFmtId="0" fontId="86" fillId="0" borderId="0"/>
    <xf numFmtId="0" fontId="74" fillId="0" borderId="0"/>
    <xf numFmtId="0" fontId="27" fillId="0" borderId="0"/>
    <xf numFmtId="0" fontId="86" fillId="0" borderId="0"/>
    <xf numFmtId="0" fontId="27" fillId="0" borderId="0"/>
    <xf numFmtId="0" fontId="86" fillId="0" borderId="0"/>
    <xf numFmtId="0" fontId="86" fillId="0" borderId="0"/>
    <xf numFmtId="0" fontId="86" fillId="0" borderId="0"/>
    <xf numFmtId="0" fontId="86"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86" fillId="0" borderId="0"/>
    <xf numFmtId="0" fontId="68"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62" fillId="0" borderId="0">
      <alignment vertical="top"/>
    </xf>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18" fillId="0" borderId="0" applyProtection="0">
      <protection locked="0"/>
    </xf>
    <xf numFmtId="0" fontId="27" fillId="0" borderId="0" applyProtection="0">
      <protection locked="0"/>
    </xf>
    <xf numFmtId="0" fontId="27" fillId="0" borderId="0" applyProtection="0">
      <protection locked="0"/>
    </xf>
    <xf numFmtId="0" fontId="63" fillId="0" borderId="0"/>
    <xf numFmtId="0" fontId="18" fillId="0" borderId="0"/>
    <xf numFmtId="0" fontId="78"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78"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101" fillId="36" borderId="25" applyNumberFormat="0" applyAlignment="0" applyProtection="0"/>
    <xf numFmtId="0" fontId="101" fillId="36" borderId="25" applyNumberFormat="0" applyAlignment="0" applyProtection="0"/>
    <xf numFmtId="0" fontId="23" fillId="0" borderId="0" applyNumberFormat="0" applyFill="0" applyBorder="0">
      <alignment horizontal="left"/>
    </xf>
    <xf numFmtId="0" fontId="102" fillId="0" borderId="0" applyNumberFormat="0" applyFill="0" applyBorder="0" applyAlignment="0" applyProtection="0"/>
    <xf numFmtId="0" fontId="103" fillId="0" borderId="26" applyNumberFormat="0" applyFill="0" applyAlignment="0" applyProtection="0"/>
    <xf numFmtId="0" fontId="103" fillId="0" borderId="26" applyNumberFormat="0" applyFill="0" applyAlignment="0" applyProtection="0"/>
    <xf numFmtId="0" fontId="104" fillId="0" borderId="0" applyNumberFormat="0" applyFill="0" applyBorder="0" applyAlignment="0" applyProtection="0"/>
    <xf numFmtId="0" fontId="18" fillId="0" borderId="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9" fontId="18" fillId="0" borderId="0" applyFont="0" applyFill="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9"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8"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4" fontId="111"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112" fillId="0" borderId="0" applyNumberForma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02" fillId="0" borderId="0" applyNumberFormat="0" applyFill="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44" fontId="18" fillId="0" borderId="0" applyFont="0" applyFill="0" applyBorder="0" applyAlignment="0" applyProtection="0"/>
    <xf numFmtId="9" fontId="121" fillId="0" borderId="0" applyFont="0" applyFill="0" applyBorder="0" applyAlignment="0" applyProtection="0"/>
    <xf numFmtId="0" fontId="121" fillId="0" borderId="0"/>
    <xf numFmtId="0" fontId="12" fillId="0" borderId="0"/>
    <xf numFmtId="0" fontId="18" fillId="0" borderId="0"/>
    <xf numFmtId="43" fontId="12" fillId="0" borderId="0" applyFont="0" applyFill="0" applyBorder="0" applyAlignment="0" applyProtection="0"/>
    <xf numFmtId="9" fontId="12" fillId="0" borderId="0" applyFont="0" applyFill="0" applyBorder="0" applyAlignment="0" applyProtection="0"/>
    <xf numFmtId="0" fontId="11" fillId="0" borderId="0"/>
    <xf numFmtId="44" fontId="11" fillId="0" borderId="0" applyFont="0" applyFill="0" applyBorder="0" applyAlignment="0" applyProtection="0"/>
    <xf numFmtId="9" fontId="11" fillId="0" borderId="0" applyFont="0" applyFill="0" applyBorder="0" applyAlignment="0" applyProtection="0"/>
    <xf numFmtId="43" fontId="148" fillId="0" borderId="0" applyFont="0" applyFill="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0" fontId="8" fillId="0" borderId="0"/>
    <xf numFmtId="44" fontId="8" fillId="0" borderId="0" applyFont="0" applyFill="0" applyBorder="0" applyAlignment="0" applyProtection="0"/>
    <xf numFmtId="9" fontId="8" fillId="0" borderId="0" applyFont="0" applyFill="0" applyBorder="0" applyAlignment="0" applyProtection="0"/>
    <xf numFmtId="44" fontId="150" fillId="0" borderId="0" applyFont="0" applyFill="0" applyBorder="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5" fillId="0" borderId="0"/>
    <xf numFmtId="0" fontId="4" fillId="0" borderId="0"/>
    <xf numFmtId="0" fontId="18" fillId="0" borderId="0" applyBorder="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88"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62" fillId="0" borderId="0">
      <alignment vertical="top"/>
    </xf>
    <xf numFmtId="0" fontId="62" fillId="0" borderId="0">
      <alignment vertical="top"/>
    </xf>
    <xf numFmtId="0" fontId="1" fillId="0" borderId="0"/>
    <xf numFmtId="0" fontId="1" fillId="0" borderId="0"/>
    <xf numFmtId="0" fontId="62" fillId="0" borderId="0">
      <alignment vertical="top"/>
    </xf>
    <xf numFmtId="0" fontId="189" fillId="0" borderId="0">
      <alignment vertical="top"/>
    </xf>
    <xf numFmtId="0" fontId="62" fillId="0" borderId="0">
      <alignment vertical="top"/>
    </xf>
    <xf numFmtId="0" fontId="62" fillId="0" borderId="0">
      <alignment vertical="top"/>
    </xf>
    <xf numFmtId="0" fontId="189"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43" fontId="78" fillId="0" borderId="0" applyFont="0" applyFill="0" applyBorder="0" applyAlignment="0" applyProtection="0"/>
    <xf numFmtId="0" fontId="1" fillId="16" borderId="0" applyNumberFormat="0" applyBorder="0" applyAlignment="0" applyProtection="0"/>
    <xf numFmtId="0" fontId="1" fillId="22" borderId="0" applyNumberFormat="0" applyBorder="0" applyAlignment="0" applyProtection="0"/>
    <xf numFmtId="43" fontId="7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62" fillId="0" borderId="0">
      <alignment vertical="top"/>
    </xf>
    <xf numFmtId="0" fontId="62" fillId="0" borderId="0">
      <alignment vertical="top"/>
    </xf>
    <xf numFmtId="43"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0" fontId="100" fillId="0" borderId="0"/>
    <xf numFmtId="0" fontId="78" fillId="41" borderId="24" applyNumberFormat="0" applyFont="0" applyAlignment="0" applyProtection="0"/>
    <xf numFmtId="0" fontId="78" fillId="41" borderId="24" applyNumberFormat="0" applyFont="0" applyAlignment="0" applyProtection="0"/>
    <xf numFmtId="43" fontId="18" fillId="0" borderId="0" applyFont="0" applyFill="0" applyBorder="0" applyAlignment="0" applyProtection="0"/>
    <xf numFmtId="0" fontId="18" fillId="0" borderId="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8" fillId="0" borderId="0"/>
    <xf numFmtId="0" fontId="1" fillId="41" borderId="24" applyNumberFormat="0" applyFont="0" applyAlignment="0" applyProtection="0"/>
    <xf numFmtId="0" fontId="1" fillId="41" borderId="24" applyNumberFormat="0" applyFont="0" applyAlignment="0" applyProtection="0"/>
    <xf numFmtId="169" fontId="190" fillId="0" borderId="0"/>
  </cellStyleXfs>
  <cellXfs count="2685">
    <xf numFmtId="0" fontId="0" fillId="0" borderId="0" xfId="0"/>
    <xf numFmtId="0" fontId="0" fillId="0" borderId="0" xfId="0" applyAlignment="1">
      <alignment horizontal="center"/>
    </xf>
    <xf numFmtId="0" fontId="25" fillId="0" borderId="0" xfId="0" applyFont="1"/>
    <xf numFmtId="0" fontId="18" fillId="0" borderId="0" xfId="0" applyFont="1"/>
    <xf numFmtId="0" fontId="27" fillId="0" borderId="0" xfId="0" applyFont="1"/>
    <xf numFmtId="0" fontId="0" fillId="0" borderId="4" xfId="0" applyBorder="1"/>
    <xf numFmtId="0" fontId="27" fillId="0" borderId="0" xfId="0" applyFont="1" applyAlignment="1">
      <alignment horizontal="center"/>
    </xf>
    <xf numFmtId="0" fontId="18"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5" fillId="0" borderId="4" xfId="0" applyFont="1" applyBorder="1"/>
    <xf numFmtId="164" fontId="0" fillId="0" borderId="0" xfId="0" applyNumberFormat="1" applyAlignment="1">
      <alignment horizontal="right"/>
    </xf>
    <xf numFmtId="0" fontId="25" fillId="0" borderId="0" xfId="0" applyFont="1" applyAlignment="1">
      <alignment horizontal="center"/>
    </xf>
    <xf numFmtId="0" fontId="18" fillId="0" borderId="0" xfId="543"/>
    <xf numFmtId="0" fontId="27" fillId="0" borderId="0" xfId="0" applyFont="1" applyAlignment="1">
      <alignment horizontal="left" vertical="top" wrapText="1"/>
    </xf>
    <xf numFmtId="0" fontId="33" fillId="0" borderId="0" xfId="0" applyFont="1"/>
    <xf numFmtId="0" fontId="26" fillId="0" borderId="0" xfId="0" applyFont="1" applyAlignment="1">
      <alignment vertical="top"/>
    </xf>
    <xf numFmtId="0" fontId="26" fillId="0" borderId="0" xfId="0" applyFont="1" applyAlignment="1">
      <alignment vertical="top" wrapText="1"/>
    </xf>
    <xf numFmtId="0" fontId="27" fillId="0" borderId="0" xfId="0" applyFont="1" applyAlignment="1">
      <alignment horizontal="left" indent="4"/>
    </xf>
    <xf numFmtId="0" fontId="26" fillId="0" borderId="0" xfId="0" applyFont="1" applyAlignment="1">
      <alignment horizontal="left" vertical="top"/>
    </xf>
    <xf numFmtId="0" fontId="26" fillId="0" borderId="0" xfId="0" applyFont="1" applyAlignment="1">
      <alignment horizontal="left"/>
    </xf>
    <xf numFmtId="0" fontId="26" fillId="0" borderId="0" xfId="0" applyFont="1"/>
    <xf numFmtId="0" fontId="38" fillId="0" borderId="0" xfId="543" applyFont="1"/>
    <xf numFmtId="1" fontId="26" fillId="0" borderId="0" xfId="0" applyNumberFormat="1" applyFont="1" applyAlignment="1">
      <alignment horizontal="left"/>
    </xf>
    <xf numFmtId="0" fontId="28" fillId="0" borderId="0" xfId="0" applyFont="1"/>
    <xf numFmtId="1" fontId="26" fillId="0" borderId="0" xfId="0" applyNumberFormat="1" applyFont="1" applyAlignment="1">
      <alignment horizontal="right"/>
    </xf>
    <xf numFmtId="0" fontId="0" fillId="0" borderId="0" xfId="0" applyAlignment="1">
      <alignment horizontal="right"/>
    </xf>
    <xf numFmtId="0" fontId="37" fillId="0" borderId="0" xfId="0" applyFont="1"/>
    <xf numFmtId="0" fontId="30" fillId="0" borderId="0" xfId="0" applyFont="1"/>
    <xf numFmtId="172" fontId="18" fillId="0" borderId="0" xfId="543" applyNumberFormat="1"/>
    <xf numFmtId="9" fontId="18" fillId="0" borderId="0" xfId="543" applyNumberFormat="1" applyAlignment="1">
      <alignment horizontal="left"/>
    </xf>
    <xf numFmtId="168" fontId="18" fillId="0" borderId="0" xfId="543" applyNumberFormat="1"/>
    <xf numFmtId="0" fontId="27" fillId="0" borderId="0" xfId="0" applyFont="1" applyAlignment="1">
      <alignment horizontal="right"/>
    </xf>
    <xf numFmtId="0" fontId="41" fillId="0" borderId="0" xfId="0" applyFont="1"/>
    <xf numFmtId="0" fontId="27" fillId="0" borderId="0" xfId="0" applyFont="1" applyAlignment="1">
      <alignment horizontal="left"/>
    </xf>
    <xf numFmtId="0" fontId="29" fillId="0" borderId="0" xfId="0" applyFont="1"/>
    <xf numFmtId="0" fontId="31" fillId="0" borderId="0" xfId="0" applyFont="1"/>
    <xf numFmtId="0" fontId="25"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5" fillId="0" borderId="1" xfId="0" applyFont="1" applyBorder="1" applyAlignment="1">
      <alignment horizontal="center" wrapText="1"/>
    </xf>
    <xf numFmtId="0" fontId="25"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5" fillId="0" borderId="4" xfId="0" applyFont="1" applyBorder="1" applyAlignment="1">
      <alignment horizontal="center"/>
    </xf>
    <xf numFmtId="0" fontId="34" fillId="0" borderId="3" xfId="0" applyFont="1" applyBorder="1" applyAlignment="1">
      <alignment horizontal="left"/>
    </xf>
    <xf numFmtId="0" fontId="34" fillId="0" borderId="9" xfId="0" applyFont="1" applyBorder="1" applyAlignment="1">
      <alignment horizontal="left"/>
    </xf>
    <xf numFmtId="0" fontId="25" fillId="0" borderId="4" xfId="0" applyFont="1" applyBorder="1" applyAlignment="1">
      <alignment horizontal="right"/>
    </xf>
    <xf numFmtId="0" fontId="25" fillId="0" borderId="5" xfId="0" applyFont="1" applyBorder="1" applyAlignment="1">
      <alignment horizontal="right"/>
    </xf>
    <xf numFmtId="0" fontId="34" fillId="0" borderId="0" xfId="0" applyFont="1" applyAlignment="1">
      <alignment horizontal="left"/>
    </xf>
    <xf numFmtId="0" fontId="25" fillId="0" borderId="0" xfId="0" applyFont="1" applyAlignment="1">
      <alignment horizontal="right"/>
    </xf>
    <xf numFmtId="0" fontId="25"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7" fillId="0" borderId="11" xfId="0" applyFont="1" applyBorder="1" applyAlignment="1">
      <alignment horizontal="left"/>
    </xf>
    <xf numFmtId="0" fontId="25" fillId="0" borderId="9" xfId="0" applyFont="1" applyBorder="1"/>
    <xf numFmtId="164" fontId="0" fillId="0" borderId="0" xfId="0" applyNumberFormat="1" applyAlignment="1">
      <alignment horizontal="center"/>
    </xf>
    <xf numFmtId="0" fontId="0" fillId="0" borderId="12" xfId="0" applyBorder="1"/>
    <xf numFmtId="0" fontId="27" fillId="0" borderId="3" xfId="0" applyFont="1" applyBorder="1"/>
    <xf numFmtId="0" fontId="27" fillId="0" borderId="0" xfId="543" applyFont="1"/>
    <xf numFmtId="0" fontId="43" fillId="0" borderId="0" xfId="543" applyFont="1"/>
    <xf numFmtId="49" fontId="18" fillId="0" borderId="0" xfId="543" applyNumberFormat="1"/>
    <xf numFmtId="0" fontId="41" fillId="0" borderId="0" xfId="543" applyFont="1"/>
    <xf numFmtId="168" fontId="38" fillId="0" borderId="6" xfId="543" applyNumberFormat="1" applyFont="1" applyBorder="1" applyAlignment="1">
      <alignment horizontal="left"/>
    </xf>
    <xf numFmtId="168" fontId="38" fillId="0" borderId="6" xfId="543" applyNumberFormat="1" applyFont="1" applyBorder="1" applyAlignment="1">
      <alignment horizontal="center"/>
    </xf>
    <xf numFmtId="0" fontId="18" fillId="0" borderId="8" xfId="543" applyBorder="1"/>
    <xf numFmtId="0" fontId="38" fillId="0" borderId="0" xfId="543" applyFont="1" applyAlignment="1">
      <alignment horizontal="center"/>
    </xf>
    <xf numFmtId="0" fontId="37" fillId="0" borderId="9" xfId="543" applyFont="1" applyBorder="1" applyAlignment="1">
      <alignment horizontal="left" vertical="top" wrapText="1"/>
    </xf>
    <xf numFmtId="0" fontId="37" fillId="0" borderId="6" xfId="543" applyFont="1" applyBorder="1" applyAlignment="1">
      <alignment horizontal="center" vertical="top" wrapText="1"/>
    </xf>
    <xf numFmtId="0" fontId="18" fillId="0" borderId="9" xfId="543" applyBorder="1"/>
    <xf numFmtId="0" fontId="18" fillId="0" borderId="10" xfId="543" applyBorder="1"/>
    <xf numFmtId="0" fontId="18" fillId="0" borderId="1" xfId="543" applyBorder="1"/>
    <xf numFmtId="0" fontId="38" fillId="0" borderId="2" xfId="543" applyFont="1" applyBorder="1" applyAlignment="1">
      <alignment horizontal="center"/>
    </xf>
    <xf numFmtId="0" fontId="40" fillId="0" borderId="8" xfId="543" applyFont="1" applyBorder="1" applyAlignment="1">
      <alignment horizontal="left" vertical="top" wrapText="1"/>
    </xf>
    <xf numFmtId="0" fontId="37" fillId="0" borderId="0" xfId="543" applyFont="1" applyAlignment="1">
      <alignment horizontal="center" vertical="top" wrapText="1"/>
    </xf>
    <xf numFmtId="0" fontId="18" fillId="0" borderId="12" xfId="543" applyBorder="1"/>
    <xf numFmtId="0" fontId="40" fillId="0" borderId="0" xfId="543" applyFont="1" applyAlignment="1">
      <alignment horizontal="center" vertical="top" wrapText="1"/>
    </xf>
    <xf numFmtId="0" fontId="40" fillId="0" borderId="9" xfId="543" applyFont="1" applyBorder="1" applyAlignment="1">
      <alignment horizontal="left" vertical="top" wrapText="1"/>
    </xf>
    <xf numFmtId="0" fontId="18" fillId="0" borderId="2" xfId="543" applyBorder="1"/>
    <xf numFmtId="0" fontId="18" fillId="0" borderId="7" xfId="543" applyBorder="1"/>
    <xf numFmtId="0" fontId="37" fillId="0" borderId="0" xfId="543" applyFont="1"/>
    <xf numFmtId="0" fontId="18" fillId="0" borderId="0" xfId="543" applyAlignment="1">
      <alignment horizontal="center"/>
    </xf>
    <xf numFmtId="0" fontId="26" fillId="0" borderId="6" xfId="543" applyFont="1" applyBorder="1" applyAlignment="1">
      <alignment vertical="top" wrapText="1"/>
    </xf>
    <xf numFmtId="0" fontId="27" fillId="0" borderId="0" xfId="0" applyFont="1" applyAlignment="1">
      <alignment horizontal="left" vertical="top"/>
    </xf>
    <xf numFmtId="0" fontId="0" fillId="2" borderId="2" xfId="0" applyFill="1" applyBorder="1"/>
    <xf numFmtId="0" fontId="0" fillId="2" borderId="7" xfId="0" applyFill="1" applyBorder="1"/>
    <xf numFmtId="0" fontId="25" fillId="0" borderId="6" xfId="0" applyFont="1" applyBorder="1" applyAlignment="1">
      <alignment horizontal="right"/>
    </xf>
    <xf numFmtId="0" fontId="24" fillId="0" borderId="0" xfId="0" applyFont="1" applyAlignment="1">
      <alignment horizontal="center" vertical="center"/>
    </xf>
    <xf numFmtId="0" fontId="25" fillId="0" borderId="0" xfId="0" applyFont="1" applyAlignment="1">
      <alignment vertical="top"/>
    </xf>
    <xf numFmtId="166" fontId="0" fillId="0" borderId="0" xfId="0" applyNumberFormat="1" applyAlignment="1">
      <alignment horizontal="right"/>
    </xf>
    <xf numFmtId="0" fontId="48" fillId="0" borderId="0" xfId="0" applyFont="1"/>
    <xf numFmtId="0" fontId="35" fillId="0" borderId="0" xfId="0" applyFont="1"/>
    <xf numFmtId="0" fontId="19" fillId="0" borderId="0" xfId="244" applyBorder="1" applyProtection="1"/>
    <xf numFmtId="0" fontId="19" fillId="0" borderId="0" xfId="244" applyFill="1" applyBorder="1" applyAlignment="1">
      <alignment horizontal="center" vertical="center"/>
    </xf>
    <xf numFmtId="0" fontId="18" fillId="0" borderId="3" xfId="543" applyBorder="1"/>
    <xf numFmtId="0" fontId="40" fillId="0" borderId="4" xfId="543" applyFont="1" applyBorder="1" applyAlignment="1">
      <alignment horizontal="right" vertical="top" wrapText="1"/>
    </xf>
    <xf numFmtId="0" fontId="27" fillId="0" borderId="6" xfId="0" applyFont="1" applyBorder="1"/>
    <xf numFmtId="0" fontId="27" fillId="0" borderId="2" xfId="0" applyFont="1" applyBorder="1"/>
    <xf numFmtId="0" fontId="27" fillId="0" borderId="7" xfId="0" applyFont="1" applyBorder="1"/>
    <xf numFmtId="0" fontId="27" fillId="0" borderId="12" xfId="0" applyFont="1" applyBorder="1"/>
    <xf numFmtId="0" fontId="27" fillId="0" borderId="9" xfId="0" applyFont="1" applyBorder="1"/>
    <xf numFmtId="0" fontId="27" fillId="0" borderId="10" xfId="0" applyFont="1" applyBorder="1"/>
    <xf numFmtId="0" fontId="32" fillId="0" borderId="6" xfId="0" applyFont="1" applyBorder="1" applyAlignment="1">
      <alignment vertical="top" wrapText="1"/>
    </xf>
    <xf numFmtId="0" fontId="32" fillId="0" borderId="5" xfId="0" applyFont="1" applyBorder="1" applyAlignment="1">
      <alignment vertical="top" wrapText="1"/>
    </xf>
    <xf numFmtId="0" fontId="32" fillId="0" borderId="4" xfId="0" applyFont="1" applyBorder="1" applyAlignment="1">
      <alignment vertical="top" wrapText="1"/>
    </xf>
    <xf numFmtId="0" fontId="32" fillId="2" borderId="6" xfId="0" applyFont="1" applyFill="1" applyBorder="1" applyAlignment="1">
      <alignment vertical="top" wrapText="1"/>
    </xf>
    <xf numFmtId="0" fontId="0" fillId="0" borderId="8" xfId="0" applyBorder="1"/>
    <xf numFmtId="0" fontId="25" fillId="0" borderId="2" xfId="0" applyFont="1" applyBorder="1"/>
    <xf numFmtId="0" fontId="27" fillId="0" borderId="0" xfId="0" applyFont="1" applyAlignment="1">
      <alignment vertical="top"/>
    </xf>
    <xf numFmtId="0" fontId="27" fillId="0" borderId="0" xfId="0" applyFont="1" applyAlignment="1">
      <alignment vertical="top" wrapText="1"/>
    </xf>
    <xf numFmtId="0" fontId="18" fillId="0" borderId="0" xfId="0" applyFont="1" applyAlignment="1">
      <alignment horizontal="left"/>
    </xf>
    <xf numFmtId="0" fontId="18" fillId="0" borderId="0" xfId="0" applyFont="1" applyAlignment="1">
      <alignment vertical="top"/>
    </xf>
    <xf numFmtId="0" fontId="47" fillId="0" borderId="0" xfId="0" applyFont="1"/>
    <xf numFmtId="0" fontId="18" fillId="0" borderId="3" xfId="0" applyFont="1" applyBorder="1"/>
    <xf numFmtId="0" fontId="18"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2" fillId="3" borderId="4" xfId="0" applyFont="1" applyFill="1" applyBorder="1" applyAlignment="1">
      <alignment vertical="top" wrapText="1"/>
    </xf>
    <xf numFmtId="0" fontId="32" fillId="3" borderId="5" xfId="0" applyFont="1" applyFill="1" applyBorder="1" applyAlignment="1">
      <alignment vertical="top" wrapText="1"/>
    </xf>
    <xf numFmtId="0" fontId="50" fillId="0" borderId="0" xfId="0" applyFont="1"/>
    <xf numFmtId="0" fontId="27" fillId="0" borderId="4" xfId="0" applyFont="1" applyBorder="1"/>
    <xf numFmtId="0" fontId="25" fillId="0" borderId="2" xfId="0" applyFont="1" applyBorder="1" applyAlignment="1">
      <alignment horizontal="center"/>
    </xf>
    <xf numFmtId="0" fontId="25" fillId="0" borderId="0" xfId="0" applyFont="1" applyAlignment="1">
      <alignment horizontal="center" vertical="center" wrapText="1"/>
    </xf>
    <xf numFmtId="0" fontId="25" fillId="0" borderId="7" xfId="543" applyFont="1" applyBorder="1" applyAlignment="1">
      <alignment horizontal="right"/>
    </xf>
    <xf numFmtId="0" fontId="26" fillId="0" borderId="9" xfId="543" applyFont="1" applyBorder="1"/>
    <xf numFmtId="0" fontId="27" fillId="0" borderId="6" xfId="543" applyFont="1" applyBorder="1"/>
    <xf numFmtId="0" fontId="26" fillId="0" borderId="6" xfId="543" applyFont="1" applyBorder="1" applyAlignment="1">
      <alignment horizontal="right"/>
    </xf>
    <xf numFmtId="0" fontId="25" fillId="0" borderId="0" xfId="0" applyFont="1" applyAlignment="1">
      <alignment horizontal="center" vertical="center"/>
    </xf>
    <xf numFmtId="0" fontId="27" fillId="0" borderId="0" xfId="0" applyFont="1" applyAlignment="1">
      <alignment horizontal="left" vertical="center"/>
    </xf>
    <xf numFmtId="0" fontId="55" fillId="0" borderId="3" xfId="0" applyFont="1" applyBorder="1" applyAlignment="1">
      <alignment horizontal="left" vertical="top"/>
    </xf>
    <xf numFmtId="0" fontId="55" fillId="0" borderId="13" xfId="0" applyFont="1" applyBorder="1" applyAlignment="1">
      <alignment horizontal="center" wrapText="1"/>
    </xf>
    <xf numFmtId="0" fontId="55" fillId="0" borderId="13" xfId="0" applyFont="1" applyBorder="1" applyAlignment="1">
      <alignment horizontal="center" vertical="top" wrapText="1"/>
    </xf>
    <xf numFmtId="0" fontId="55" fillId="2" borderId="13" xfId="0" applyFont="1" applyFill="1" applyBorder="1" applyAlignment="1">
      <alignment horizontal="center" wrapText="1"/>
    </xf>
    <xf numFmtId="0" fontId="56" fillId="2" borderId="11" xfId="0" applyFont="1" applyFill="1" applyBorder="1" applyAlignment="1">
      <alignment horizontal="left" vertical="top" wrapText="1"/>
    </xf>
    <xf numFmtId="0" fontId="57" fillId="4" borderId="11" xfId="0" applyFont="1" applyFill="1" applyBorder="1" applyAlignment="1">
      <alignment vertical="top" wrapText="1"/>
    </xf>
    <xf numFmtId="0" fontId="57" fillId="2" borderId="11" xfId="0" applyFont="1" applyFill="1" applyBorder="1" applyAlignment="1">
      <alignment vertical="top" wrapText="1"/>
    </xf>
    <xf numFmtId="0" fontId="57" fillId="0" borderId="11" xfId="0" applyFont="1" applyBorder="1" applyAlignment="1">
      <alignment vertical="top" wrapText="1"/>
    </xf>
    <xf numFmtId="0" fontId="57" fillId="0" borderId="11" xfId="0" applyFont="1" applyBorder="1" applyAlignment="1">
      <alignment horizontal="right" vertical="top" wrapText="1"/>
    </xf>
    <xf numFmtId="168" fontId="57" fillId="0" borderId="11" xfId="0" applyNumberFormat="1" applyFont="1" applyBorder="1" applyAlignment="1">
      <alignment vertical="top" wrapText="1"/>
    </xf>
    <xf numFmtId="168" fontId="57" fillId="5" borderId="11" xfId="0" applyNumberFormat="1" applyFont="1" applyFill="1" applyBorder="1" applyAlignment="1" applyProtection="1">
      <alignment vertical="top" wrapText="1"/>
      <protection locked="0"/>
    </xf>
    <xf numFmtId="168" fontId="57" fillId="6" borderId="11" xfId="0" applyNumberFormat="1" applyFont="1" applyFill="1" applyBorder="1" applyAlignment="1">
      <alignment horizontal="center" vertical="top" wrapText="1"/>
    </xf>
    <xf numFmtId="0" fontId="55" fillId="0" borderId="11" xfId="0" applyFont="1" applyBorder="1" applyAlignment="1">
      <alignment horizontal="right" vertical="top" wrapText="1"/>
    </xf>
    <xf numFmtId="168" fontId="55" fillId="0" borderId="11" xfId="0" applyNumberFormat="1" applyFont="1" applyBorder="1" applyAlignment="1">
      <alignment vertical="top" wrapText="1"/>
    </xf>
    <xf numFmtId="168" fontId="57" fillId="4" borderId="11" xfId="0" applyNumberFormat="1" applyFont="1" applyFill="1" applyBorder="1" applyAlignment="1">
      <alignment vertical="top" wrapText="1"/>
    </xf>
    <xf numFmtId="0" fontId="55" fillId="2" borderId="11" xfId="0" applyFont="1" applyFill="1" applyBorder="1" applyAlignment="1">
      <alignment vertical="top" wrapText="1"/>
    </xf>
    <xf numFmtId="0" fontId="55" fillId="0" borderId="11" xfId="0" applyFont="1" applyBorder="1" applyAlignment="1">
      <alignment vertical="top" wrapText="1"/>
    </xf>
    <xf numFmtId="0" fontId="21" fillId="0" borderId="11" xfId="0" applyFont="1" applyBorder="1" applyAlignment="1">
      <alignment horizontal="right" vertical="top" wrapText="1"/>
    </xf>
    <xf numFmtId="0" fontId="57" fillId="0" borderId="11" xfId="0" applyFont="1" applyBorder="1" applyAlignment="1" applyProtection="1">
      <alignment horizontal="right" vertical="top" wrapText="1"/>
      <protection locked="0"/>
    </xf>
    <xf numFmtId="0" fontId="55" fillId="0" borderId="0" xfId="0" applyFont="1" applyAlignment="1">
      <alignment horizontal="left" vertical="top"/>
    </xf>
    <xf numFmtId="0" fontId="57" fillId="0" borderId="0" xfId="0" applyFont="1" applyAlignment="1">
      <alignment horizontal="left" vertical="top"/>
    </xf>
    <xf numFmtId="0" fontId="57" fillId="0" borderId="0" xfId="0" applyFont="1" applyAlignment="1">
      <alignment vertical="top" wrapText="1"/>
    </xf>
    <xf numFmtId="0" fontId="57" fillId="0" borderId="0" xfId="0" applyFont="1" applyAlignment="1">
      <alignment vertical="top"/>
    </xf>
    <xf numFmtId="0" fontId="55" fillId="0" borderId="0" xfId="0" applyFont="1" applyAlignment="1">
      <alignment horizontal="right" vertical="top"/>
    </xf>
    <xf numFmtId="0" fontId="57" fillId="2" borderId="0" xfId="0" applyFont="1" applyFill="1" applyAlignment="1">
      <alignment vertical="top" wrapText="1"/>
    </xf>
    <xf numFmtId="0" fontId="55" fillId="0" borderId="0" xfId="0" applyFont="1" applyAlignment="1">
      <alignment vertical="top"/>
    </xf>
    <xf numFmtId="166" fontId="27" fillId="0" borderId="0" xfId="0" applyNumberFormat="1" applyFont="1" applyAlignment="1">
      <alignment horizontal="left"/>
    </xf>
    <xf numFmtId="0" fontId="58" fillId="0" borderId="0" xfId="0" applyFont="1"/>
    <xf numFmtId="0" fontId="18" fillId="0" borderId="0" xfId="244" applyFont="1" applyFill="1" applyBorder="1" applyAlignment="1" applyProtection="1">
      <alignment horizontal="left"/>
    </xf>
    <xf numFmtId="0" fontId="49" fillId="0" borderId="0" xfId="0" applyFont="1"/>
    <xf numFmtId="0" fontId="49" fillId="0" borderId="0" xfId="244" applyFont="1" applyFill="1" applyBorder="1" applyAlignment="1" applyProtection="1">
      <alignment horizontal="left"/>
    </xf>
    <xf numFmtId="0" fontId="24" fillId="3" borderId="11" xfId="0" applyFont="1" applyFill="1" applyBorder="1" applyAlignment="1">
      <alignment vertical="top"/>
    </xf>
    <xf numFmtId="0" fontId="0" fillId="7" borderId="0" xfId="0" applyFill="1"/>
    <xf numFmtId="0" fontId="38" fillId="0" borderId="0" xfId="0" applyFont="1"/>
    <xf numFmtId="0" fontId="60" fillId="0" borderId="0" xfId="0" applyFont="1"/>
    <xf numFmtId="0" fontId="36" fillId="0" borderId="0" xfId="0" applyFont="1" applyAlignment="1">
      <alignment horizontal="center"/>
    </xf>
    <xf numFmtId="0" fontId="36" fillId="0" borderId="0" xfId="0" applyFont="1" applyAlignment="1">
      <alignment horizontal="left"/>
    </xf>
    <xf numFmtId="49" fontId="25" fillId="0" borderId="0" xfId="0" applyNumberFormat="1" applyFont="1" applyAlignment="1">
      <alignment horizontal="center"/>
    </xf>
    <xf numFmtId="0" fontId="52" fillId="0" borderId="0" xfId="0" applyFont="1" applyAlignment="1">
      <alignment horizontal="center"/>
    </xf>
    <xf numFmtId="168" fontId="27" fillId="0" borderId="0" xfId="0" applyNumberFormat="1" applyFont="1" applyAlignment="1">
      <alignment horizontal="center"/>
    </xf>
    <xf numFmtId="168" fontId="37" fillId="0" borderId="0" xfId="0" applyNumberFormat="1" applyFont="1" applyAlignment="1">
      <alignment horizontal="left" vertical="top" wrapText="1"/>
    </xf>
    <xf numFmtId="0" fontId="54" fillId="0" borderId="3" xfId="0" applyFont="1" applyBorder="1"/>
    <xf numFmtId="168" fontId="0" fillId="0" borderId="0" xfId="0" applyNumberFormat="1" applyAlignment="1">
      <alignment horizontal="center"/>
    </xf>
    <xf numFmtId="0" fontId="38" fillId="0" borderId="0" xfId="0" applyFont="1" applyAlignment="1">
      <alignment vertical="top" wrapText="1"/>
    </xf>
    <xf numFmtId="0" fontId="55" fillId="0" borderId="4" xfId="0" applyFont="1" applyBorder="1" applyAlignment="1">
      <alignment horizontal="right"/>
    </xf>
    <xf numFmtId="0" fontId="62" fillId="0" borderId="0" xfId="0" applyFont="1"/>
    <xf numFmtId="3" fontId="27" fillId="0" borderId="0" xfId="0" applyNumberFormat="1" applyFont="1" applyAlignment="1">
      <alignment horizontal="center"/>
    </xf>
    <xf numFmtId="168" fontId="18" fillId="0" borderId="0" xfId="0" applyNumberFormat="1" applyFont="1" applyAlignment="1">
      <alignment horizontal="left" vertical="top"/>
    </xf>
    <xf numFmtId="168" fontId="27" fillId="0" borderId="0" xfId="0" applyNumberFormat="1" applyFont="1" applyAlignment="1">
      <alignment horizontal="left" vertical="top"/>
    </xf>
    <xf numFmtId="0" fontId="57" fillId="0" borderId="11" xfId="0" applyFont="1" applyBorder="1" applyAlignment="1">
      <alignment horizontal="right" vertical="top"/>
    </xf>
    <xf numFmtId="0" fontId="57" fillId="0" borderId="0" xfId="0" applyFont="1" applyAlignment="1">
      <alignment horizontal="right" vertical="top" wrapText="1"/>
    </xf>
    <xf numFmtId="0" fontId="57" fillId="2" borderId="12" xfId="0" applyFont="1" applyFill="1" applyBorder="1" applyAlignment="1">
      <alignment vertical="top" wrapText="1"/>
    </xf>
    <xf numFmtId="0" fontId="57" fillId="0" borderId="14" xfId="0" applyFont="1" applyBorder="1" applyAlignment="1">
      <alignment vertical="top" wrapText="1"/>
    </xf>
    <xf numFmtId="168" fontId="57" fillId="5" borderId="11" xfId="0" applyNumberFormat="1" applyFont="1" applyFill="1" applyBorder="1" applyAlignment="1" applyProtection="1">
      <alignment vertical="top"/>
      <protection locked="0"/>
    </xf>
    <xf numFmtId="0" fontId="57" fillId="2" borderId="11" xfId="0" applyFont="1" applyFill="1" applyBorder="1" applyAlignment="1" applyProtection="1">
      <alignment vertical="top"/>
      <protection locked="0"/>
    </xf>
    <xf numFmtId="0" fontId="57" fillId="0" borderId="11" xfId="0" applyFont="1" applyBorder="1" applyAlignment="1" applyProtection="1">
      <alignment vertical="top"/>
      <protection locked="0"/>
    </xf>
    <xf numFmtId="168" fontId="57" fillId="0" borderId="11" xfId="0" applyNumberFormat="1" applyFont="1" applyBorder="1" applyAlignment="1">
      <alignment vertical="top"/>
    </xf>
    <xf numFmtId="168" fontId="57" fillId="6" borderId="11" xfId="0" applyNumberFormat="1" applyFont="1" applyFill="1" applyBorder="1" applyAlignment="1">
      <alignment horizontal="center" vertical="top"/>
    </xf>
    <xf numFmtId="0" fontId="25" fillId="0" borderId="0" xfId="542" applyFont="1" applyProtection="1">
      <protection locked="0"/>
    </xf>
    <xf numFmtId="0" fontId="18" fillId="0" borderId="0" xfId="539" applyProtection="1"/>
    <xf numFmtId="0" fontId="38" fillId="8" borderId="0" xfId="539" applyFont="1" applyFill="1" applyAlignment="1" applyProtection="1">
      <alignment horizontal="centerContinuous"/>
    </xf>
    <xf numFmtId="0" fontId="25" fillId="0" borderId="0" xfId="543" applyFont="1"/>
    <xf numFmtId="0" fontId="27" fillId="0" borderId="0" xfId="543" applyFont="1" applyAlignment="1">
      <alignment horizontal="left"/>
    </xf>
    <xf numFmtId="0" fontId="27" fillId="0" borderId="15" xfId="0" applyFont="1" applyBorder="1"/>
    <xf numFmtId="2" fontId="41" fillId="0" borderId="11" xfId="0" applyNumberFormat="1" applyFont="1" applyBorder="1"/>
    <xf numFmtId="0" fontId="18" fillId="0" borderId="0" xfId="0" applyFont="1" applyProtection="1">
      <protection locked="0"/>
    </xf>
    <xf numFmtId="0" fontId="65" fillId="0" borderId="0" xfId="0" applyFont="1" applyAlignment="1">
      <alignment horizontal="center"/>
    </xf>
    <xf numFmtId="0" fontId="27" fillId="0" borderId="0" xfId="271"/>
    <xf numFmtId="0" fontId="25" fillId="0" borderId="0" xfId="271" applyFont="1"/>
    <xf numFmtId="0" fontId="27" fillId="0" borderId="0" xfId="271" applyAlignment="1">
      <alignment horizontal="left"/>
    </xf>
    <xf numFmtId="168" fontId="25" fillId="0" borderId="2" xfId="543" applyNumberFormat="1" applyFont="1" applyBorder="1" applyAlignment="1">
      <alignment horizontal="center" vertical="center"/>
    </xf>
    <xf numFmtId="0" fontId="40" fillId="0" borderId="0" xfId="543" applyFont="1" applyAlignment="1">
      <alignment horizontal="right" vertical="top" wrapText="1"/>
    </xf>
    <xf numFmtId="0" fontId="38" fillId="0" borderId="2" xfId="543" applyFont="1" applyBorder="1" applyAlignment="1">
      <alignment horizontal="right" vertical="top" wrapText="1"/>
    </xf>
    <xf numFmtId="0" fontId="23" fillId="0" borderId="0" xfId="0" applyFont="1"/>
    <xf numFmtId="0" fontId="67" fillId="0" borderId="0" xfId="0" applyFont="1"/>
    <xf numFmtId="0" fontId="65" fillId="0" borderId="0" xfId="0" applyFont="1"/>
    <xf numFmtId="0" fontId="38"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5" fillId="0" borderId="0" xfId="0" applyNumberFormat="1" applyFont="1" applyAlignment="1">
      <alignment horizontal="center"/>
    </xf>
    <xf numFmtId="3" fontId="27" fillId="0" borderId="0" xfId="0" applyNumberFormat="1" applyFont="1"/>
    <xf numFmtId="0" fontId="66" fillId="0" borderId="0" xfId="0" applyFont="1"/>
    <xf numFmtId="168" fontId="23" fillId="0" borderId="0" xfId="0" applyNumberFormat="1" applyFont="1"/>
    <xf numFmtId="10" fontId="23" fillId="0" borderId="0" xfId="0" applyNumberFormat="1" applyFont="1" applyAlignment="1">
      <alignment horizontal="center"/>
    </xf>
    <xf numFmtId="3" fontId="69" fillId="0" borderId="0" xfId="0" applyNumberFormat="1" applyFont="1"/>
    <xf numFmtId="3" fontId="23" fillId="0" borderId="0" xfId="0" applyNumberFormat="1" applyFont="1"/>
    <xf numFmtId="168" fontId="66" fillId="0" borderId="0" xfId="0" applyNumberFormat="1" applyFont="1"/>
    <xf numFmtId="168" fontId="66" fillId="0" borderId="0" xfId="0" applyNumberFormat="1" applyFont="1" applyAlignment="1">
      <alignment horizontal="center"/>
    </xf>
    <xf numFmtId="0" fontId="23" fillId="5" borderId="0" xfId="0" applyFont="1" applyFill="1" applyAlignment="1">
      <alignment horizontal="left"/>
    </xf>
    <xf numFmtId="0" fontId="23" fillId="5" borderId="0" xfId="0" applyFont="1" applyFill="1"/>
    <xf numFmtId="10" fontId="23" fillId="0" borderId="0" xfId="0" applyNumberFormat="1" applyFont="1"/>
    <xf numFmtId="172" fontId="23" fillId="0" borderId="0" xfId="0" applyNumberFormat="1" applyFont="1"/>
    <xf numFmtId="172" fontId="23" fillId="0" borderId="0" xfId="0" applyNumberFormat="1" applyFont="1" applyAlignment="1">
      <alignment horizontal="center"/>
    </xf>
    <xf numFmtId="0" fontId="23" fillId="0" borderId="6" xfId="0" applyFont="1" applyBorder="1"/>
    <xf numFmtId="10" fontId="23" fillId="0" borderId="6" xfId="0" applyNumberFormat="1" applyFont="1" applyBorder="1" applyAlignment="1">
      <alignment horizontal="center"/>
    </xf>
    <xf numFmtId="3" fontId="23" fillId="0" borderId="6" xfId="0" applyNumberFormat="1" applyFont="1" applyBorder="1"/>
    <xf numFmtId="10" fontId="27" fillId="0" borderId="0" xfId="0" applyNumberFormat="1" applyFont="1" applyAlignment="1">
      <alignment horizontal="center"/>
    </xf>
    <xf numFmtId="3" fontId="27" fillId="0" borderId="0" xfId="0" applyNumberFormat="1" applyFont="1" applyAlignment="1">
      <alignment vertical="top"/>
    </xf>
    <xf numFmtId="10" fontId="25" fillId="0" borderId="0" xfId="0" applyNumberFormat="1" applyFont="1" applyAlignment="1">
      <alignment horizontal="center"/>
    </xf>
    <xf numFmtId="0" fontId="65" fillId="0" borderId="6" xfId="0" applyFont="1" applyBorder="1" applyAlignment="1">
      <alignment horizontal="center"/>
    </xf>
    <xf numFmtId="172" fontId="27" fillId="0" borderId="0" xfId="0" applyNumberFormat="1" applyFont="1" applyAlignment="1">
      <alignment horizontal="center"/>
    </xf>
    <xf numFmtId="10" fontId="70" fillId="0" borderId="0" xfId="0" applyNumberFormat="1" applyFont="1" applyAlignment="1">
      <alignment horizontal="center"/>
    </xf>
    <xf numFmtId="0" fontId="27" fillId="9" borderId="6" xfId="0" applyFont="1" applyFill="1" applyBorder="1"/>
    <xf numFmtId="0" fontId="27" fillId="0" borderId="4" xfId="271" applyBorder="1"/>
    <xf numFmtId="0" fontId="27" fillId="0" borderId="6" xfId="271" applyBorder="1"/>
    <xf numFmtId="0" fontId="27" fillId="0" borderId="1" xfId="0" applyFont="1" applyBorder="1"/>
    <xf numFmtId="168" fontId="27" fillId="0" borderId="3" xfId="0" applyNumberFormat="1" applyFont="1" applyBorder="1" applyAlignment="1">
      <alignment vertical="top"/>
    </xf>
    <xf numFmtId="168" fontId="27" fillId="0" borderId="4" xfId="0" applyNumberFormat="1" applyFont="1" applyBorder="1" applyAlignment="1">
      <alignment vertical="top"/>
    </xf>
    <xf numFmtId="168" fontId="27" fillId="0" borderId="5" xfId="0" applyNumberFormat="1" applyFont="1" applyBorder="1" applyAlignment="1">
      <alignment vertical="top"/>
    </xf>
    <xf numFmtId="168" fontId="27" fillId="0" borderId="8" xfId="0" applyNumberFormat="1" applyFont="1" applyBorder="1" applyAlignment="1">
      <alignment vertical="top"/>
    </xf>
    <xf numFmtId="168" fontId="27" fillId="0" borderId="0" xfId="0" applyNumberFormat="1" applyFont="1" applyAlignment="1">
      <alignment vertical="top"/>
    </xf>
    <xf numFmtId="0" fontId="27" fillId="0" borderId="0" xfId="0" applyFont="1" applyAlignment="1">
      <alignment horizontal="right" vertical="top"/>
    </xf>
    <xf numFmtId="0" fontId="27"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7" fillId="5" borderId="4" xfId="0" applyFont="1" applyFill="1" applyBorder="1" applyAlignment="1" applyProtection="1">
      <alignment horizontal="left" vertical="top"/>
      <protection locked="0"/>
    </xf>
    <xf numFmtId="0" fontId="27" fillId="5" borderId="5" xfId="0" applyFont="1" applyFill="1" applyBorder="1" applyAlignment="1" applyProtection="1">
      <alignment horizontal="left" vertical="top"/>
      <protection locked="0"/>
    </xf>
    <xf numFmtId="4" fontId="52" fillId="0" borderId="0" xfId="0" applyNumberFormat="1" applyFont="1" applyAlignment="1">
      <alignment horizontal="center"/>
    </xf>
    <xf numFmtId="0" fontId="37" fillId="0" borderId="1" xfId="543" applyFont="1" applyBorder="1" applyAlignment="1">
      <alignment horizontal="left" vertical="top" wrapText="1"/>
    </xf>
    <xf numFmtId="0" fontId="37" fillId="0" borderId="12" xfId="543" applyFont="1" applyBorder="1" applyAlignment="1">
      <alignment horizontal="center" vertical="top" wrapText="1"/>
    </xf>
    <xf numFmtId="0" fontId="37" fillId="0" borderId="8" xfId="543" applyFont="1" applyBorder="1" applyAlignment="1">
      <alignment horizontal="left" vertical="top" wrapText="1"/>
    </xf>
    <xf numFmtId="0" fontId="32" fillId="3" borderId="4" xfId="271" applyFont="1" applyFill="1" applyBorder="1" applyAlignment="1">
      <alignment vertical="top" wrapText="1"/>
    </xf>
    <xf numFmtId="0" fontId="24" fillId="3" borderId="11" xfId="271" applyFont="1" applyFill="1" applyBorder="1" applyAlignment="1">
      <alignment vertical="top"/>
    </xf>
    <xf numFmtId="0" fontId="25" fillId="0" borderId="9" xfId="271" applyFont="1" applyBorder="1" applyAlignment="1">
      <alignment horizontal="center" wrapText="1"/>
    </xf>
    <xf numFmtId="0" fontId="32" fillId="3" borderId="4" xfId="271" applyFont="1" applyFill="1" applyBorder="1" applyAlignment="1" applyProtection="1">
      <alignment vertical="top" wrapText="1"/>
      <protection locked="0"/>
    </xf>
    <xf numFmtId="0" fontId="32" fillId="3" borderId="5" xfId="271" applyFont="1" applyFill="1" applyBorder="1" applyAlignment="1" applyProtection="1">
      <alignment vertical="top" wrapText="1"/>
      <protection locked="0"/>
    </xf>
    <xf numFmtId="0" fontId="25" fillId="0" borderId="13" xfId="271" applyFont="1" applyBorder="1" applyAlignment="1">
      <alignment horizontal="center" wrapText="1"/>
    </xf>
    <xf numFmtId="0" fontId="50" fillId="2" borderId="11" xfId="271" applyFont="1" applyFill="1" applyBorder="1" applyAlignment="1">
      <alignment horizontal="left" vertical="top" wrapText="1"/>
    </xf>
    <xf numFmtId="0" fontId="27" fillId="0" borderId="11" xfId="271" applyBorder="1" applyAlignment="1" applyProtection="1">
      <alignment vertical="top" wrapText="1"/>
      <protection locked="0"/>
    </xf>
    <xf numFmtId="168" fontId="27" fillId="5" borderId="11" xfId="271" applyNumberFormat="1" applyFill="1" applyBorder="1" applyAlignment="1" applyProtection="1">
      <alignment vertical="top" wrapText="1"/>
      <protection locked="0"/>
    </xf>
    <xf numFmtId="0" fontId="27" fillId="5" borderId="3" xfId="271" applyFill="1" applyBorder="1" applyAlignment="1" applyProtection="1">
      <alignment vertical="top" wrapText="1"/>
      <protection locked="0"/>
    </xf>
    <xf numFmtId="0" fontId="27" fillId="5" borderId="11" xfId="271" applyFill="1" applyBorder="1" applyAlignment="1" applyProtection="1">
      <alignment vertical="top" wrapText="1"/>
      <protection locked="0"/>
    </xf>
    <xf numFmtId="0" fontId="27" fillId="0" borderId="11" xfId="271" applyBorder="1" applyAlignment="1">
      <alignment horizontal="right" vertical="top" wrapText="1"/>
    </xf>
    <xf numFmtId="168" fontId="27" fillId="0" borderId="11" xfId="271" applyNumberFormat="1" applyBorder="1" applyAlignment="1">
      <alignment vertical="top" wrapText="1"/>
    </xf>
    <xf numFmtId="0" fontId="25" fillId="0" borderId="11" xfId="271" applyFont="1" applyBorder="1" applyAlignment="1">
      <alignment horizontal="right" vertical="top" wrapText="1"/>
    </xf>
    <xf numFmtId="0" fontId="27" fillId="5" borderId="11" xfId="271" applyFill="1" applyBorder="1" applyAlignment="1" applyProtection="1">
      <alignment horizontal="right" vertical="top" wrapText="1"/>
      <protection locked="0"/>
    </xf>
    <xf numFmtId="168" fontId="25" fillId="0" borderId="11" xfId="271" applyNumberFormat="1" applyFont="1" applyBorder="1" applyAlignment="1">
      <alignment vertical="top" wrapText="1"/>
    </xf>
    <xf numFmtId="0" fontId="35" fillId="0" borderId="11" xfId="271" applyFont="1" applyBorder="1" applyAlignment="1">
      <alignment horizontal="right" vertical="top" wrapText="1"/>
    </xf>
    <xf numFmtId="0" fontId="32" fillId="0" borderId="0" xfId="271" applyFont="1" applyAlignment="1" applyProtection="1">
      <alignment vertical="top" wrapText="1"/>
      <protection locked="0"/>
    </xf>
    <xf numFmtId="0" fontId="27" fillId="0" borderId="5" xfId="271" applyBorder="1" applyAlignment="1" applyProtection="1">
      <alignment vertical="top" wrapText="1"/>
      <protection locked="0"/>
    </xf>
    <xf numFmtId="0" fontId="25" fillId="0" borderId="3" xfId="271" applyFont="1" applyBorder="1" applyAlignment="1">
      <alignment horizontal="left" vertical="top"/>
    </xf>
    <xf numFmtId="0" fontId="27" fillId="0" borderId="4" xfId="271" applyBorder="1" applyAlignment="1" applyProtection="1">
      <alignment horizontal="left" vertical="top"/>
      <protection locked="0"/>
    </xf>
    <xf numFmtId="0" fontId="27" fillId="0" borderId="4" xfId="271" applyBorder="1" applyAlignment="1" applyProtection="1">
      <alignment vertical="top" wrapText="1"/>
      <protection locked="0"/>
    </xf>
    <xf numFmtId="0" fontId="32" fillId="0" borderId="0" xfId="271" applyFont="1" applyAlignment="1">
      <alignment vertical="top" wrapText="1"/>
    </xf>
    <xf numFmtId="0" fontId="27" fillId="0" borderId="4" xfId="271" applyBorder="1" applyAlignment="1">
      <alignment vertical="top" wrapText="1"/>
    </xf>
    <xf numFmtId="0" fontId="50" fillId="2" borderId="11" xfId="271" applyFont="1" applyFill="1" applyBorder="1" applyAlignment="1" applyProtection="1">
      <alignment horizontal="left" vertical="top" wrapText="1"/>
      <protection locked="0"/>
    </xf>
    <xf numFmtId="0" fontId="54" fillId="0" borderId="11" xfId="0" applyFont="1" applyBorder="1" applyAlignment="1">
      <alignment horizontal="right" vertical="top" wrapText="1"/>
    </xf>
    <xf numFmtId="0" fontId="27" fillId="8" borderId="0" xfId="542" quotePrefix="1" applyFont="1" applyFill="1" applyAlignment="1">
      <alignment horizontal="left"/>
    </xf>
    <xf numFmtId="0" fontId="27" fillId="8" borderId="0" xfId="542" applyFont="1" applyFill="1"/>
    <xf numFmtId="0" fontId="35" fillId="8" borderId="0" xfId="542" applyFont="1" applyFill="1"/>
    <xf numFmtId="0" fontId="54" fillId="0" borderId="11" xfId="271" applyFont="1" applyBorder="1" applyAlignment="1">
      <alignment horizontal="right" vertical="top"/>
    </xf>
    <xf numFmtId="0" fontId="54" fillId="0" borderId="11" xfId="271" applyFont="1" applyBorder="1" applyAlignment="1">
      <alignment horizontal="right" vertical="top" wrapText="1"/>
    </xf>
    <xf numFmtId="0" fontId="27" fillId="0" borderId="0" xfId="271" applyAlignment="1">
      <alignment horizontal="left" vertical="top"/>
    </xf>
    <xf numFmtId="0" fontId="25" fillId="0" borderId="0" xfId="271" applyFont="1" applyAlignment="1">
      <alignment horizontal="right"/>
    </xf>
    <xf numFmtId="0" fontId="26" fillId="0" borderId="0" xfId="271" applyFont="1" applyAlignment="1">
      <alignment horizontal="center"/>
    </xf>
    <xf numFmtId="5" fontId="27" fillId="0" borderId="0" xfId="542" applyNumberFormat="1" applyFont="1"/>
    <xf numFmtId="1" fontId="27" fillId="0" borderId="15" xfId="271" applyNumberFormat="1" applyBorder="1"/>
    <xf numFmtId="1" fontId="27" fillId="0" borderId="14" xfId="271" applyNumberFormat="1" applyBorder="1"/>
    <xf numFmtId="0" fontId="26" fillId="0" borderId="6" xfId="271" applyFont="1" applyBorder="1" applyAlignment="1">
      <alignment horizontal="left"/>
    </xf>
    <xf numFmtId="0" fontId="26" fillId="0" borderId="6" xfId="271" applyFont="1" applyBorder="1" applyAlignment="1">
      <alignment horizontal="right"/>
    </xf>
    <xf numFmtId="165" fontId="27" fillId="0" borderId="0" xfId="271" applyNumberFormat="1"/>
    <xf numFmtId="170" fontId="27" fillId="0" borderId="14" xfId="271" applyNumberFormat="1" applyBorder="1"/>
    <xf numFmtId="1" fontId="25" fillId="0" borderId="11" xfId="271" applyNumberFormat="1" applyFont="1" applyBorder="1"/>
    <xf numFmtId="165" fontId="25" fillId="0" borderId="11" xfId="271" applyNumberFormat="1" applyFont="1" applyBorder="1"/>
    <xf numFmtId="3" fontId="57" fillId="0" borderId="11" xfId="0" applyNumberFormat="1" applyFont="1" applyBorder="1" applyAlignment="1">
      <alignment vertical="top" wrapText="1"/>
    </xf>
    <xf numFmtId="166" fontId="27" fillId="0" borderId="0" xfId="0" applyNumberFormat="1" applyFont="1"/>
    <xf numFmtId="0" fontId="0" fillId="0" borderId="0" xfId="0" applyProtection="1">
      <protection locked="0"/>
    </xf>
    <xf numFmtId="0" fontId="23" fillId="0" borderId="0" xfId="0" applyFont="1" applyProtection="1">
      <protection locked="0"/>
    </xf>
    <xf numFmtId="0" fontId="23" fillId="0" borderId="0" xfId="271" applyFont="1" applyProtection="1">
      <protection locked="0"/>
    </xf>
    <xf numFmtId="168" fontId="23" fillId="0" borderId="0" xfId="271" applyNumberFormat="1" applyFont="1" applyProtection="1">
      <protection locked="0"/>
    </xf>
    <xf numFmtId="0" fontId="31" fillId="0" borderId="1" xfId="0" applyFont="1" applyBorder="1"/>
    <xf numFmtId="0" fontId="18" fillId="0" borderId="2" xfId="0" applyFont="1" applyBorder="1" applyAlignment="1">
      <alignment horizontal="left"/>
    </xf>
    <xf numFmtId="0" fontId="18" fillId="0" borderId="2" xfId="0" applyFont="1" applyBorder="1"/>
    <xf numFmtId="0" fontId="31" fillId="0" borderId="8" xfId="0" applyFont="1" applyBorder="1"/>
    <xf numFmtId="0" fontId="31" fillId="0" borderId="9" xfId="0" applyFont="1" applyBorder="1"/>
    <xf numFmtId="0" fontId="25" fillId="0" borderId="0" xfId="0" applyFont="1" applyAlignment="1">
      <alignment horizontal="left" vertical="top"/>
    </xf>
    <xf numFmtId="0" fontId="75" fillId="0" borderId="0" xfId="0" applyFont="1" applyAlignment="1">
      <alignment vertical="center" wrapText="1"/>
    </xf>
    <xf numFmtId="0" fontId="75" fillId="0" borderId="0" xfId="0" applyFont="1" applyAlignment="1">
      <alignment vertical="center"/>
    </xf>
    <xf numFmtId="0" fontId="75" fillId="0" borderId="0" xfId="0" applyFont="1" applyAlignment="1">
      <alignment horizontal="left" vertical="center" indent="1"/>
    </xf>
    <xf numFmtId="172" fontId="27" fillId="5" borderId="0" xfId="0" applyNumberFormat="1" applyFont="1" applyFill="1" applyAlignment="1">
      <alignment horizontal="center"/>
    </xf>
    <xf numFmtId="0" fontId="76" fillId="0" borderId="0" xfId="0" applyFont="1" applyAlignment="1">
      <alignment horizontal="left" vertical="center"/>
    </xf>
    <xf numFmtId="0" fontId="37" fillId="0" borderId="2" xfId="543" applyFont="1" applyBorder="1" applyAlignment="1">
      <alignment horizontal="center" vertical="top" wrapText="1"/>
    </xf>
    <xf numFmtId="49" fontId="48" fillId="0" borderId="0" xfId="0" applyNumberFormat="1" applyFont="1" applyAlignment="1">
      <alignment horizontal="center"/>
    </xf>
    <xf numFmtId="0" fontId="54" fillId="0" borderId="0" xfId="0" applyFont="1"/>
    <xf numFmtId="5" fontId="80" fillId="0" borderId="11" xfId="541" applyNumberFormat="1" applyFont="1" applyBorder="1" applyAlignment="1" applyProtection="1">
      <alignment horizontal="center"/>
    </xf>
    <xf numFmtId="5" fontId="80" fillId="42" borderId="11" xfId="541" applyNumberFormat="1" applyFont="1" applyFill="1" applyBorder="1" applyAlignment="1" applyProtection="1">
      <alignment horizontal="center"/>
    </xf>
    <xf numFmtId="5" fontId="80" fillId="2" borderId="11" xfId="541" applyNumberFormat="1" applyFont="1" applyFill="1" applyBorder="1" applyAlignment="1" applyProtection="1">
      <alignment horizontal="center"/>
    </xf>
    <xf numFmtId="0" fontId="54" fillId="0" borderId="0" xfId="0" applyFont="1" applyAlignment="1">
      <alignment vertical="top" wrapText="1"/>
    </xf>
    <xf numFmtId="0" fontId="54" fillId="0" borderId="0" xfId="0" applyFont="1" applyAlignment="1">
      <alignment vertical="top"/>
    </xf>
    <xf numFmtId="0" fontId="54" fillId="2" borderId="0" xfId="0" applyFont="1" applyFill="1" applyAlignment="1">
      <alignment vertical="top" wrapText="1"/>
    </xf>
    <xf numFmtId="0" fontId="82" fillId="0" borderId="13" xfId="0" applyFont="1" applyBorder="1" applyAlignment="1">
      <alignment vertical="top" wrapText="1"/>
    </xf>
    <xf numFmtId="0" fontId="32" fillId="0" borderId="0" xfId="0" applyFont="1" applyAlignment="1">
      <alignment vertical="top" wrapText="1"/>
    </xf>
    <xf numFmtId="0" fontId="82" fillId="2" borderId="13" xfId="0" applyFont="1" applyFill="1" applyBorder="1" applyAlignment="1">
      <alignment vertical="top" wrapText="1"/>
    </xf>
    <xf numFmtId="0" fontId="82" fillId="0" borderId="0" xfId="0" applyFont="1" applyAlignment="1">
      <alignment vertical="top" wrapText="1"/>
    </xf>
    <xf numFmtId="0" fontId="82" fillId="2" borderId="0" xfId="0" applyFont="1" applyFill="1" applyAlignment="1">
      <alignment vertical="top" wrapText="1"/>
    </xf>
    <xf numFmtId="0" fontId="54" fillId="0" borderId="0" xfId="0" applyFont="1" applyAlignment="1">
      <alignment horizontal="right" vertical="top" wrapText="1"/>
    </xf>
    <xf numFmtId="168" fontId="54" fillId="5" borderId="6" xfId="0" applyNumberFormat="1" applyFont="1" applyFill="1" applyBorder="1" applyAlignment="1" applyProtection="1">
      <alignment horizontal="right" vertical="top" wrapText="1"/>
      <protection locked="0"/>
    </xf>
    <xf numFmtId="168" fontId="54" fillId="0" borderId="6" xfId="0" applyNumberFormat="1" applyFont="1" applyBorder="1" applyAlignment="1">
      <alignment horizontal="right" vertical="top" wrapText="1"/>
    </xf>
    <xf numFmtId="0" fontId="25" fillId="0" borderId="0" xfId="0" applyFont="1" applyAlignment="1">
      <alignment horizontal="left" vertical="top" wrapText="1"/>
    </xf>
    <xf numFmtId="0" fontId="27" fillId="0" borderId="0" xfId="0" applyFont="1" applyAlignment="1">
      <alignment horizontal="right" vertical="top" wrapText="1"/>
    </xf>
    <xf numFmtId="10" fontId="27" fillId="5" borderId="6" xfId="0" applyNumberFormat="1" applyFont="1" applyFill="1" applyBorder="1" applyAlignment="1" applyProtection="1">
      <alignment horizontal="center" vertical="top" wrapText="1"/>
      <protection locked="0"/>
    </xf>
    <xf numFmtId="0" fontId="65" fillId="0" borderId="0" xfId="0" applyFont="1" applyAlignment="1">
      <alignment horizontal="left" vertical="center"/>
    </xf>
    <xf numFmtId="0" fontId="25" fillId="0" borderId="2" xfId="543" applyFont="1" applyBorder="1" applyAlignment="1">
      <alignment horizontal="center"/>
    </xf>
    <xf numFmtId="0" fontId="0" fillId="0" borderId="0" xfId="543" applyFont="1"/>
    <xf numFmtId="0" fontId="19" fillId="0" borderId="0" xfId="244" quotePrefix="1" applyAlignment="1" applyProtection="1">
      <alignment horizontal="left"/>
    </xf>
    <xf numFmtId="168" fontId="54" fillId="0" borderId="11" xfId="0" applyNumberFormat="1" applyFont="1" applyBorder="1" applyAlignment="1">
      <alignment vertical="top" wrapText="1"/>
    </xf>
    <xf numFmtId="168" fontId="54" fillId="4" borderId="11" xfId="0" applyNumberFormat="1" applyFont="1" applyFill="1" applyBorder="1" applyAlignment="1">
      <alignment vertical="top" wrapText="1"/>
    </xf>
    <xf numFmtId="0" fontId="106" fillId="0" borderId="0" xfId="0" applyFont="1" applyAlignment="1">
      <alignment horizontal="left" vertical="top"/>
    </xf>
    <xf numFmtId="0" fontId="107" fillId="0" borderId="0" xfId="0" applyFont="1" applyAlignment="1">
      <alignment horizontal="left" vertical="top"/>
    </xf>
    <xf numFmtId="0" fontId="75" fillId="0" borderId="0" xfId="0" applyFont="1"/>
    <xf numFmtId="0" fontId="25" fillId="8" borderId="11" xfId="542" applyFont="1" applyFill="1" applyBorder="1" applyAlignment="1">
      <alignment horizontal="left"/>
    </xf>
    <xf numFmtId="0" fontId="25" fillId="8" borderId="11" xfId="542" applyFont="1" applyFill="1" applyBorder="1" applyAlignment="1">
      <alignment horizontal="center"/>
    </xf>
    <xf numFmtId="0" fontId="64" fillId="8" borderId="11" xfId="542" applyFont="1" applyFill="1" applyBorder="1" applyAlignment="1">
      <alignment horizontal="left"/>
    </xf>
    <xf numFmtId="0" fontId="64" fillId="0" borderId="11" xfId="542" applyFont="1" applyBorder="1" applyAlignment="1">
      <alignment horizontal="left"/>
    </xf>
    <xf numFmtId="0" fontId="25" fillId="0" borderId="0" xfId="271" applyFont="1" applyAlignment="1" applyProtection="1">
      <alignment horizontal="center" wrapText="1"/>
      <protection locked="0"/>
    </xf>
    <xf numFmtId="0" fontId="27" fillId="0" borderId="0" xfId="271" applyAlignment="1" applyProtection="1">
      <alignment vertical="top" wrapText="1"/>
      <protection locked="0"/>
    </xf>
    <xf numFmtId="0" fontId="25" fillId="0" borderId="0" xfId="271" applyFont="1" applyAlignment="1" applyProtection="1">
      <alignment vertical="top" wrapText="1"/>
      <protection locked="0"/>
    </xf>
    <xf numFmtId="0" fontId="18" fillId="0" borderId="0" xfId="0" applyFont="1" applyAlignment="1">
      <alignment horizontal="center"/>
    </xf>
    <xf numFmtId="0" fontId="32" fillId="0" borderId="8" xfId="569" applyFont="1" applyBorder="1" applyAlignment="1">
      <alignment vertical="top" wrapText="1"/>
    </xf>
    <xf numFmtId="0" fontId="32" fillId="0" borderId="0" xfId="569" applyFont="1" applyAlignment="1">
      <alignment vertical="top" wrapText="1"/>
    </xf>
    <xf numFmtId="0" fontId="56" fillId="2" borderId="11" xfId="569" applyFont="1" applyFill="1" applyBorder="1" applyAlignment="1">
      <alignment horizontal="left" vertical="top" wrapText="1"/>
    </xf>
    <xf numFmtId="6" fontId="54" fillId="4" borderId="11" xfId="569" applyNumberFormat="1" applyFont="1" applyFill="1" applyBorder="1" applyAlignment="1">
      <alignment vertical="top" wrapText="1"/>
    </xf>
    <xf numFmtId="0" fontId="54" fillId="0" borderId="8" xfId="569" applyFont="1" applyBorder="1" applyAlignment="1">
      <alignment vertical="top" wrapText="1"/>
    </xf>
    <xf numFmtId="0" fontId="54" fillId="0" borderId="0" xfId="569" applyFont="1" applyAlignment="1">
      <alignment vertical="top" wrapText="1"/>
    </xf>
    <xf numFmtId="6" fontId="54" fillId="0" borderId="11" xfId="569" applyNumberFormat="1" applyFont="1" applyBorder="1" applyAlignment="1">
      <alignment vertical="top" wrapText="1"/>
    </xf>
    <xf numFmtId="6" fontId="54" fillId="5" borderId="11" xfId="569" applyNumberFormat="1" applyFont="1" applyFill="1" applyBorder="1" applyAlignment="1" applyProtection="1">
      <alignment vertical="top" wrapText="1"/>
      <protection locked="0"/>
    </xf>
    <xf numFmtId="6" fontId="54" fillId="6" borderId="11" xfId="569" applyNumberFormat="1" applyFont="1" applyFill="1" applyBorder="1" applyAlignment="1">
      <alignment horizontal="center" vertical="top" wrapText="1"/>
    </xf>
    <xf numFmtId="0" fontId="54" fillId="0" borderId="11" xfId="569" applyFont="1" applyBorder="1" applyAlignment="1">
      <alignment horizontal="right" vertical="top" wrapText="1"/>
    </xf>
    <xf numFmtId="0" fontId="55" fillId="0" borderId="11" xfId="569" applyFont="1" applyBorder="1" applyAlignment="1">
      <alignment horizontal="right" vertical="top" wrapText="1"/>
    </xf>
    <xf numFmtId="0" fontId="54" fillId="0" borderId="11" xfId="569" applyFont="1" applyBorder="1" applyAlignment="1">
      <alignment horizontal="right" vertical="top"/>
    </xf>
    <xf numFmtId="6" fontId="55" fillId="0" borderId="11" xfId="569" applyNumberFormat="1" applyFont="1" applyBorder="1" applyAlignment="1">
      <alignment vertical="top" wrapText="1"/>
    </xf>
    <xf numFmtId="0" fontId="55" fillId="0" borderId="8" xfId="569" applyFont="1" applyBorder="1" applyAlignment="1">
      <alignment vertical="top" wrapText="1"/>
    </xf>
    <xf numFmtId="0" fontId="55" fillId="0" borderId="0" xfId="569" applyFont="1" applyAlignment="1">
      <alignment vertical="top" wrapText="1"/>
    </xf>
    <xf numFmtId="0" fontId="21" fillId="0" borderId="11" xfId="569" applyFont="1" applyBorder="1" applyAlignment="1">
      <alignment horizontal="right" vertical="top" wrapText="1"/>
    </xf>
    <xf numFmtId="0" fontId="55" fillId="0" borderId="0" xfId="569" applyFont="1" applyAlignment="1">
      <alignment horizontal="left" vertical="top"/>
    </xf>
    <xf numFmtId="6" fontId="54" fillId="0" borderId="0" xfId="569" applyNumberFormat="1" applyFont="1" applyAlignment="1">
      <alignment horizontal="left" vertical="top"/>
    </xf>
    <xf numFmtId="0" fontId="107" fillId="0" borderId="0" xfId="569" applyFont="1" applyAlignment="1">
      <alignment horizontal="left" vertical="top"/>
    </xf>
    <xf numFmtId="6" fontId="54" fillId="0" borderId="0" xfId="569" applyNumberFormat="1" applyFont="1" applyAlignment="1">
      <alignment vertical="top" wrapText="1"/>
    </xf>
    <xf numFmtId="0" fontId="54" fillId="0" borderId="0" xfId="569" applyFont="1" applyAlignment="1">
      <alignment horizontal="left" vertical="top"/>
    </xf>
    <xf numFmtId="0" fontId="54" fillId="0" borderId="12" xfId="569" applyFont="1" applyBorder="1" applyAlignment="1">
      <alignment vertical="top" wrapText="1"/>
    </xf>
    <xf numFmtId="0" fontId="25" fillId="0" borderId="0" xfId="569" applyFont="1" applyAlignment="1">
      <alignment horizontal="left" vertical="top"/>
    </xf>
    <xf numFmtId="0" fontId="110" fillId="0" borderId="0" xfId="569" applyFont="1" applyAlignment="1">
      <alignment horizontal="left" vertical="top"/>
    </xf>
    <xf numFmtId="0" fontId="65" fillId="0" borderId="0" xfId="569" applyFont="1" applyAlignment="1">
      <alignment horizontal="left" vertical="center"/>
    </xf>
    <xf numFmtId="0" fontId="33" fillId="0" borderId="0" xfId="569" applyFont="1" applyAlignment="1">
      <alignment vertical="top" wrapText="1"/>
    </xf>
    <xf numFmtId="0" fontId="33" fillId="0" borderId="12" xfId="569" applyFont="1" applyBorder="1" applyAlignment="1">
      <alignment vertical="top" wrapText="1"/>
    </xf>
    <xf numFmtId="0" fontId="33" fillId="0" borderId="8" xfId="569" applyFont="1" applyBorder="1" applyAlignment="1">
      <alignment vertical="top" wrapText="1"/>
    </xf>
    <xf numFmtId="0" fontId="54" fillId="0" borderId="0" xfId="569" applyFont="1" applyAlignment="1">
      <alignment vertical="top"/>
    </xf>
    <xf numFmtId="168" fontId="54" fillId="0" borderId="0" xfId="569" applyNumberFormat="1" applyFont="1" applyAlignment="1" applyProtection="1">
      <alignment horizontal="right" vertical="top" wrapText="1"/>
      <protection locked="0"/>
    </xf>
    <xf numFmtId="0" fontId="18" fillId="0" borderId="0" xfId="569" applyAlignment="1">
      <alignment vertical="top" wrapText="1"/>
    </xf>
    <xf numFmtId="0" fontId="18" fillId="0" borderId="0" xfId="569" applyAlignment="1">
      <alignment vertical="top"/>
    </xf>
    <xf numFmtId="0" fontId="54" fillId="0" borderId="0" xfId="569" applyFont="1" applyAlignment="1">
      <alignment horizontal="right" vertical="top" wrapText="1"/>
    </xf>
    <xf numFmtId="0" fontId="25" fillId="0" borderId="0" xfId="569" applyFont="1" applyAlignment="1">
      <alignment horizontal="left" vertical="top" wrapText="1"/>
    </xf>
    <xf numFmtId="168" fontId="54" fillId="0" borderId="0" xfId="569" applyNumberFormat="1" applyFont="1" applyAlignment="1">
      <alignment horizontal="right" vertical="top" wrapText="1"/>
    </xf>
    <xf numFmtId="0" fontId="18" fillId="0" borderId="0" xfId="569" applyAlignment="1" applyProtection="1">
      <alignment horizontal="left" vertical="top" wrapText="1"/>
      <protection locked="0"/>
    </xf>
    <xf numFmtId="0" fontId="18" fillId="0" borderId="0" xfId="569" applyAlignment="1">
      <alignment horizontal="right" vertical="top" wrapText="1"/>
    </xf>
    <xf numFmtId="0" fontId="18" fillId="0" borderId="0" xfId="569" applyAlignment="1">
      <alignment horizontal="left" vertical="top"/>
    </xf>
    <xf numFmtId="0" fontId="82" fillId="0" borderId="0" xfId="569" applyFont="1" applyAlignment="1">
      <alignment vertical="top" wrapText="1"/>
    </xf>
    <xf numFmtId="0" fontId="82" fillId="0" borderId="12" xfId="569" applyFont="1" applyBorder="1" applyAlignment="1">
      <alignment vertical="top" wrapText="1"/>
    </xf>
    <xf numFmtId="0" fontId="82" fillId="0" borderId="8" xfId="569" applyFont="1" applyBorder="1" applyAlignment="1">
      <alignment vertical="top" wrapText="1"/>
    </xf>
    <xf numFmtId="0" fontId="32" fillId="0" borderId="0" xfId="569" applyFont="1" applyAlignment="1">
      <alignment horizontal="right" vertical="top" wrapText="1"/>
    </xf>
    <xf numFmtId="0" fontId="82" fillId="0" borderId="0" xfId="569" applyFont="1" applyAlignment="1">
      <alignment horizontal="right" vertical="top" wrapText="1"/>
    </xf>
    <xf numFmtId="0" fontId="55" fillId="0" borderId="3" xfId="569" applyFont="1" applyBorder="1" applyAlignment="1">
      <alignment horizontal="left"/>
    </xf>
    <xf numFmtId="0" fontId="55" fillId="0" borderId="13" xfId="569" applyFont="1" applyBorder="1" applyAlignment="1">
      <alignment horizontal="center" wrapText="1"/>
    </xf>
    <xf numFmtId="0" fontId="55" fillId="0" borderId="8" xfId="569" applyFont="1" applyBorder="1" applyAlignment="1">
      <alignment horizontal="center" wrapText="1"/>
    </xf>
    <xf numFmtId="0" fontId="55" fillId="0" borderId="0" xfId="569" applyFont="1" applyAlignment="1">
      <alignment horizontal="center" wrapText="1"/>
    </xf>
    <xf numFmtId="0" fontId="18" fillId="0" borderId="0" xfId="569"/>
    <xf numFmtId="0" fontId="24" fillId="0" borderId="0" xfId="569" applyFont="1" applyAlignment="1">
      <alignment horizontal="center" vertical="center"/>
    </xf>
    <xf numFmtId="0" fontId="25" fillId="0" borderId="0" xfId="569" applyFont="1"/>
    <xf numFmtId="0" fontId="18" fillId="0" borderId="1" xfId="569" applyBorder="1"/>
    <xf numFmtId="0" fontId="18" fillId="0" borderId="2" xfId="569" applyBorder="1"/>
    <xf numFmtId="0" fontId="18" fillId="0" borderId="8" xfId="569" applyBorder="1"/>
    <xf numFmtId="0" fontId="18" fillId="0" borderId="9" xfId="569" applyBorder="1"/>
    <xf numFmtId="0" fontId="18" fillId="0" borderId="6" xfId="569" applyBorder="1"/>
    <xf numFmtId="0" fontId="26" fillId="0" borderId="0" xfId="569" applyFont="1"/>
    <xf numFmtId="0" fontId="18" fillId="0" borderId="7" xfId="569" applyBorder="1"/>
    <xf numFmtId="0" fontId="18" fillId="0" borderId="12" xfId="569" applyBorder="1"/>
    <xf numFmtId="0" fontId="18" fillId="0" borderId="10" xfId="569" applyBorder="1"/>
    <xf numFmtId="0" fontId="26" fillId="0" borderId="0" xfId="569" applyFont="1" applyAlignment="1">
      <alignment vertical="top" wrapText="1"/>
    </xf>
    <xf numFmtId="0" fontId="18" fillId="0" borderId="0" xfId="569" applyAlignment="1">
      <alignment horizontal="right"/>
    </xf>
    <xf numFmtId="0" fontId="18" fillId="0" borderId="0" xfId="569" applyAlignment="1">
      <alignment wrapText="1"/>
    </xf>
    <xf numFmtId="0" fontId="18" fillId="0" borderId="0" xfId="569" applyAlignment="1">
      <alignment vertical="center"/>
    </xf>
    <xf numFmtId="0" fontId="42" fillId="0" borderId="0" xfId="569" applyFont="1" applyAlignment="1">
      <alignment vertical="center" wrapText="1"/>
    </xf>
    <xf numFmtId="0" fontId="36" fillId="0" borderId="0" xfId="569" applyFont="1" applyAlignment="1">
      <alignment vertical="top" wrapText="1"/>
    </xf>
    <xf numFmtId="0" fontId="25" fillId="0" borderId="0" xfId="569" applyFont="1" applyAlignment="1">
      <alignment vertical="top" wrapText="1"/>
    </xf>
    <xf numFmtId="0" fontId="26" fillId="0" borderId="0" xfId="569" applyFont="1" applyAlignment="1">
      <alignment horizontal="left" vertical="top" wrapText="1"/>
    </xf>
    <xf numFmtId="164" fontId="18" fillId="0" borderId="0" xfId="569" applyNumberFormat="1" applyAlignment="1">
      <alignment horizontal="right"/>
    </xf>
    <xf numFmtId="168" fontId="18" fillId="0" borderId="0" xfId="569" applyNumberFormat="1" applyAlignment="1">
      <alignment horizontal="right"/>
    </xf>
    <xf numFmtId="0" fontId="108" fillId="0" borderId="0" xfId="569" applyFont="1" applyAlignment="1">
      <alignment horizontal="left" vertical="top" wrapText="1"/>
    </xf>
    <xf numFmtId="168" fontId="18" fillId="0" borderId="0" xfId="569" applyNumberFormat="1" applyAlignment="1">
      <alignment wrapText="1"/>
    </xf>
    <xf numFmtId="0" fontId="23" fillId="0" borderId="11" xfId="253" applyFont="1" applyBorder="1" applyAlignment="1">
      <alignment horizontal="center" wrapText="1"/>
    </xf>
    <xf numFmtId="0" fontId="23" fillId="0" borderId="0" xfId="253" applyFont="1" applyAlignment="1">
      <alignment horizontal="center" wrapText="1"/>
    </xf>
    <xf numFmtId="3" fontId="23" fillId="0" borderId="11" xfId="271" applyNumberFormat="1" applyFont="1" applyBorder="1"/>
    <xf numFmtId="3" fontId="23" fillId="0" borderId="0" xfId="271" applyNumberFormat="1" applyFont="1"/>
    <xf numFmtId="0" fontId="66" fillId="0" borderId="0" xfId="271" applyFont="1" applyAlignment="1">
      <alignment horizontal="left"/>
    </xf>
    <xf numFmtId="0" fontId="66" fillId="0" borderId="0" xfId="271" applyFont="1" applyAlignment="1">
      <alignment horizontal="right"/>
    </xf>
    <xf numFmtId="168" fontId="23" fillId="0" borderId="11" xfId="271" applyNumberFormat="1" applyFont="1" applyBorder="1"/>
    <xf numFmtId="168" fontId="23" fillId="0" borderId="0" xfId="271" applyNumberFormat="1" applyFont="1"/>
    <xf numFmtId="0" fontId="54" fillId="0" borderId="0" xfId="569" applyFont="1" applyAlignment="1">
      <alignment horizontal="left"/>
    </xf>
    <xf numFmtId="0" fontId="18" fillId="0" borderId="3" xfId="569" applyBorder="1"/>
    <xf numFmtId="0" fontId="109" fillId="0" borderId="0" xfId="1834"/>
    <xf numFmtId="0" fontId="0" fillId="0" borderId="0" xfId="0" applyAlignment="1">
      <alignment horizontal="left" vertical="top"/>
    </xf>
    <xf numFmtId="0" fontId="108" fillId="0" borderId="0" xfId="0" applyFont="1" applyAlignment="1">
      <alignment vertical="top" wrapText="1"/>
    </xf>
    <xf numFmtId="0" fontId="54" fillId="0" borderId="0" xfId="271" applyFont="1" applyAlignment="1">
      <alignment vertical="top" wrapText="1"/>
    </xf>
    <xf numFmtId="4" fontId="18" fillId="0" borderId="0" xfId="1192" applyNumberFormat="1" applyAlignment="1">
      <alignment horizontal="left" vertical="top" wrapText="1"/>
    </xf>
    <xf numFmtId="0" fontId="18" fillId="0" borderId="0" xfId="0" applyFont="1" applyAlignment="1">
      <alignment horizontal="left" vertical="top" wrapText="1"/>
    </xf>
    <xf numFmtId="0" fontId="25" fillId="0" borderId="12" xfId="543" applyFont="1" applyBorder="1" applyAlignment="1">
      <alignment horizontal="right"/>
    </xf>
    <xf numFmtId="0" fontId="37" fillId="0" borderId="0" xfId="543" applyFont="1" applyAlignment="1">
      <alignment horizontal="center"/>
    </xf>
    <xf numFmtId="4" fontId="18" fillId="0" borderId="0" xfId="569" applyNumberFormat="1" applyAlignment="1">
      <alignment horizontal="left"/>
    </xf>
    <xf numFmtId="0" fontId="18" fillId="0" borderId="0" xfId="569" applyAlignment="1">
      <alignment horizontal="left" vertical="top" wrapText="1"/>
    </xf>
    <xf numFmtId="0" fontId="18" fillId="0" borderId="0" xfId="569" applyAlignment="1">
      <alignment horizontal="left"/>
    </xf>
    <xf numFmtId="0" fontId="18" fillId="0" borderId="0" xfId="1192" applyAlignment="1">
      <alignment horizontal="left"/>
    </xf>
    <xf numFmtId="0" fontId="25" fillId="0" borderId="0" xfId="569" applyFont="1" applyAlignment="1">
      <alignment horizontal="left"/>
    </xf>
    <xf numFmtId="0" fontId="47" fillId="0" borderId="0" xfId="1192" applyFont="1"/>
    <xf numFmtId="0" fontId="54" fillId="0" borderId="11" xfId="0" applyFont="1" applyBorder="1" applyAlignment="1">
      <alignment horizontal="right" vertical="center"/>
    </xf>
    <xf numFmtId="0" fontId="18" fillId="0" borderId="0" xfId="1192" applyAlignment="1">
      <alignment horizontal="left" vertical="top" wrapText="1"/>
    </xf>
    <xf numFmtId="0" fontId="47" fillId="0" borderId="0" xfId="0" applyFont="1" applyAlignment="1">
      <alignment vertical="top" wrapText="1"/>
    </xf>
    <xf numFmtId="0" fontId="47" fillId="0" borderId="0" xfId="0" applyFont="1" applyAlignment="1">
      <alignment horizontal="left" vertical="top" wrapText="1"/>
    </xf>
    <xf numFmtId="6" fontId="55" fillId="0" borderId="0" xfId="569" applyNumberFormat="1" applyFont="1" applyAlignment="1">
      <alignment horizontal="right" vertical="top"/>
    </xf>
    <xf numFmtId="0" fontId="18" fillId="0" borderId="0" xfId="0" applyFont="1" applyAlignment="1">
      <alignment vertical="top" wrapText="1"/>
    </xf>
    <xf numFmtId="168" fontId="27" fillId="0" borderId="0" xfId="0" applyNumberFormat="1" applyFont="1" applyAlignment="1">
      <alignment horizontal="right"/>
    </xf>
    <xf numFmtId="168" fontId="27" fillId="0" borderId="28" xfId="540" applyNumberFormat="1" applyBorder="1" applyAlignment="1" applyProtection="1">
      <alignment horizontal="center"/>
    </xf>
    <xf numFmtId="168" fontId="27" fillId="0" borderId="29" xfId="540" applyNumberFormat="1" applyBorder="1" applyAlignment="1" applyProtection="1">
      <alignment horizontal="center"/>
    </xf>
    <xf numFmtId="168" fontId="27" fillId="0" borderId="30" xfId="540" applyNumberFormat="1" applyBorder="1" applyAlignment="1" applyProtection="1">
      <alignment horizontal="center"/>
    </xf>
    <xf numFmtId="168" fontId="27" fillId="0" borderId="31" xfId="540" applyNumberFormat="1" applyBorder="1" applyAlignment="1" applyProtection="1">
      <alignment horizontal="center"/>
    </xf>
    <xf numFmtId="168" fontId="27" fillId="0" borderId="32" xfId="540" applyNumberFormat="1" applyBorder="1" applyAlignment="1" applyProtection="1">
      <alignment horizontal="center"/>
    </xf>
    <xf numFmtId="168" fontId="27" fillId="0" borderId="33" xfId="540" applyNumberFormat="1" applyBorder="1" applyAlignment="1" applyProtection="1">
      <alignment horizontal="center"/>
    </xf>
    <xf numFmtId="168" fontId="27" fillId="0" borderId="34" xfId="540" applyNumberFormat="1" applyBorder="1" applyAlignment="1" applyProtection="1">
      <alignment horizontal="center"/>
    </xf>
    <xf numFmtId="168" fontId="27" fillId="0" borderId="35" xfId="540" applyNumberFormat="1" applyBorder="1" applyAlignment="1" applyProtection="1">
      <alignment horizontal="center"/>
    </xf>
    <xf numFmtId="168" fontId="27" fillId="0" borderId="36" xfId="540" applyNumberFormat="1" applyBorder="1" applyAlignment="1" applyProtection="1">
      <alignment horizontal="center"/>
    </xf>
    <xf numFmtId="168" fontId="27" fillId="0" borderId="37" xfId="540" applyNumberFormat="1" applyBorder="1" applyAlignment="1" applyProtection="1">
      <alignment horizontal="center"/>
    </xf>
    <xf numFmtId="168" fontId="27" fillId="0" borderId="38" xfId="540" applyNumberFormat="1" applyBorder="1" applyAlignment="1" applyProtection="1">
      <alignment horizontal="center"/>
    </xf>
    <xf numFmtId="168" fontId="27" fillId="0" borderId="39" xfId="540" applyNumberFormat="1" applyBorder="1" applyAlignment="1" applyProtection="1">
      <alignment horizontal="center"/>
    </xf>
    <xf numFmtId="168" fontId="27" fillId="0" borderId="40" xfId="540" applyNumberFormat="1" applyBorder="1" applyAlignment="1" applyProtection="1">
      <alignment horizontal="center"/>
    </xf>
    <xf numFmtId="168" fontId="27" fillId="0" borderId="0" xfId="540" applyNumberFormat="1" applyAlignment="1" applyProtection="1">
      <alignment horizontal="center"/>
    </xf>
    <xf numFmtId="168" fontId="27" fillId="0" borderId="14" xfId="540" applyNumberFormat="1" applyBorder="1" applyAlignment="1" applyProtection="1">
      <alignment horizontal="center"/>
    </xf>
    <xf numFmtId="168" fontId="27" fillId="0" borderId="41" xfId="540" applyNumberFormat="1" applyBorder="1" applyAlignment="1" applyProtection="1">
      <alignment horizontal="center"/>
    </xf>
    <xf numFmtId="168" fontId="27" fillId="0" borderId="42" xfId="540" applyNumberFormat="1" applyBorder="1" applyAlignment="1" applyProtection="1">
      <alignment horizontal="center"/>
    </xf>
    <xf numFmtId="168" fontId="27" fillId="0" borderId="43" xfId="540" applyNumberFormat="1" applyBorder="1" applyAlignment="1" applyProtection="1">
      <alignment horizontal="center"/>
    </xf>
    <xf numFmtId="168" fontId="27" fillId="0" borderId="44" xfId="540" applyNumberFormat="1" applyBorder="1" applyAlignment="1" applyProtection="1">
      <alignment horizontal="center"/>
    </xf>
    <xf numFmtId="0" fontId="18" fillId="0" borderId="0" xfId="1192"/>
    <xf numFmtId="0" fontId="18" fillId="0" borderId="0" xfId="0" applyFont="1" applyAlignment="1">
      <alignment wrapText="1"/>
    </xf>
    <xf numFmtId="0" fontId="47" fillId="0" borderId="0" xfId="0" applyFont="1" applyAlignment="1">
      <alignment horizontal="left" vertical="top"/>
    </xf>
    <xf numFmtId="0" fontId="47" fillId="0" borderId="0" xfId="0" applyFont="1" applyAlignment="1">
      <alignment vertical="top"/>
    </xf>
    <xf numFmtId="0" fontId="18" fillId="0" borderId="0" xfId="569" applyAlignment="1">
      <alignment horizontal="center"/>
    </xf>
    <xf numFmtId="0" fontId="36" fillId="0" borderId="0" xfId="569" applyFont="1" applyAlignment="1">
      <alignment horizontal="left"/>
    </xf>
    <xf numFmtId="0" fontId="36" fillId="0" borderId="0" xfId="569" applyFont="1" applyAlignment="1">
      <alignment horizontal="center"/>
    </xf>
    <xf numFmtId="49" fontId="25" fillId="0" borderId="0" xfId="569" applyNumberFormat="1" applyFont="1" applyAlignment="1">
      <alignment horizontal="center"/>
    </xf>
    <xf numFmtId="0" fontId="52" fillId="0" borderId="0" xfId="569" applyFont="1" applyAlignment="1">
      <alignment horizontal="center"/>
    </xf>
    <xf numFmtId="0" fontId="18" fillId="5" borderId="6" xfId="569" applyFill="1" applyBorder="1" applyProtection="1">
      <protection locked="0"/>
    </xf>
    <xf numFmtId="0" fontId="19" fillId="0" borderId="0" xfId="244" applyAlignment="1" applyProtection="1">
      <alignment horizontal="center"/>
    </xf>
    <xf numFmtId="49" fontId="18" fillId="0" borderId="0" xfId="569" applyNumberFormat="1" applyAlignment="1">
      <alignment horizontal="center"/>
    </xf>
    <xf numFmtId="0" fontId="18" fillId="0" borderId="0" xfId="569" applyAlignment="1">
      <alignment horizontal="center" vertical="center"/>
    </xf>
    <xf numFmtId="0" fontId="18" fillId="0" borderId="0" xfId="1192" applyAlignment="1">
      <alignment horizontal="center"/>
    </xf>
    <xf numFmtId="0" fontId="25" fillId="0" borderId="0" xfId="569" applyFont="1" applyAlignment="1">
      <alignment horizontal="center"/>
    </xf>
    <xf numFmtId="0" fontId="18" fillId="0" borderId="0" xfId="569" applyAlignment="1">
      <alignment horizontal="left" indent="4"/>
    </xf>
    <xf numFmtId="0" fontId="18" fillId="0" borderId="0" xfId="569" quotePrefix="1" applyAlignment="1">
      <alignment horizontal="left"/>
    </xf>
    <xf numFmtId="0" fontId="36" fillId="0" borderId="0" xfId="569" applyFont="1"/>
    <xf numFmtId="0" fontId="18" fillId="0" borderId="0" xfId="1192" applyAlignment="1" applyProtection="1">
      <alignment horizontal="left"/>
      <protection locked="0"/>
    </xf>
    <xf numFmtId="0" fontId="18" fillId="0" borderId="0" xfId="569" applyAlignment="1" applyProtection="1">
      <alignment horizontal="left"/>
      <protection locked="0"/>
    </xf>
    <xf numFmtId="49" fontId="18" fillId="0" borderId="0" xfId="1192" applyNumberFormat="1" applyAlignment="1">
      <alignment horizontal="center"/>
    </xf>
    <xf numFmtId="0" fontId="52" fillId="0" borderId="0" xfId="1192" applyFont="1" applyAlignment="1">
      <alignment horizontal="center"/>
    </xf>
    <xf numFmtId="0" fontId="25" fillId="0" borderId="0" xfId="1192" applyFont="1" applyAlignment="1">
      <alignment horizontal="left"/>
    </xf>
    <xf numFmtId="4" fontId="18" fillId="0" borderId="0" xfId="1192" applyNumberFormat="1" applyAlignment="1">
      <alignment horizontal="left"/>
    </xf>
    <xf numFmtId="0" fontId="25" fillId="0" borderId="0" xfId="569" quotePrefix="1" applyFont="1" applyAlignment="1">
      <alignment horizontal="center"/>
    </xf>
    <xf numFmtId="49" fontId="18" fillId="0" borderId="0" xfId="569" applyNumberFormat="1"/>
    <xf numFmtId="0" fontId="50" fillId="0" borderId="0" xfId="569" applyFont="1" applyAlignment="1">
      <alignment horizontal="left"/>
    </xf>
    <xf numFmtId="4" fontId="52" fillId="0" borderId="0" xfId="569" applyNumberFormat="1" applyFont="1" applyAlignment="1">
      <alignment horizontal="center"/>
    </xf>
    <xf numFmtId="4" fontId="18" fillId="0" borderId="0" xfId="569" applyNumberFormat="1" applyAlignment="1">
      <alignment horizontal="center"/>
    </xf>
    <xf numFmtId="4" fontId="18" fillId="0" borderId="0" xfId="569" applyNumberFormat="1"/>
    <xf numFmtId="0" fontId="48" fillId="0" borderId="0" xfId="569" applyFont="1" applyAlignment="1">
      <alignment horizontal="left"/>
    </xf>
    <xf numFmtId="0" fontId="19" fillId="0" borderId="0" xfId="244" applyNumberFormat="1" applyFill="1" applyAlignment="1" applyProtection="1">
      <alignment horizontal="left"/>
      <protection locked="0"/>
    </xf>
    <xf numFmtId="0" fontId="54" fillId="0" borderId="11" xfId="0" applyFont="1" applyBorder="1" applyAlignment="1" applyProtection="1">
      <alignment horizontal="right" vertical="top" wrapText="1"/>
      <protection locked="0"/>
    </xf>
    <xf numFmtId="168" fontId="57" fillId="44" borderId="11" xfId="0" applyNumberFormat="1" applyFont="1" applyFill="1" applyBorder="1" applyAlignment="1">
      <alignment vertical="top" wrapText="1"/>
    </xf>
    <xf numFmtId="0" fontId="18" fillId="0" borderId="11" xfId="271" applyFont="1" applyBorder="1" applyAlignment="1">
      <alignment horizontal="right" vertical="top" wrapText="1"/>
    </xf>
    <xf numFmtId="0" fontId="26" fillId="0" borderId="0" xfId="569" applyFont="1" applyAlignment="1">
      <alignment horizontal="left"/>
    </xf>
    <xf numFmtId="0" fontId="106" fillId="0" borderId="0" xfId="0" applyFont="1"/>
    <xf numFmtId="0" fontId="117" fillId="0" borderId="0" xfId="0" applyFont="1" applyAlignment="1">
      <alignment horizontal="left" vertical="top"/>
    </xf>
    <xf numFmtId="0" fontId="118" fillId="0" borderId="0" xfId="0" applyFont="1" applyAlignment="1">
      <alignment horizontal="left" vertical="top"/>
    </xf>
    <xf numFmtId="168" fontId="26" fillId="0" borderId="0" xfId="0" applyNumberFormat="1" applyFont="1" applyAlignment="1">
      <alignment horizontal="left" vertical="top" wrapText="1"/>
    </xf>
    <xf numFmtId="168" fontId="54" fillId="5" borderId="11" xfId="0" applyNumberFormat="1" applyFont="1" applyFill="1" applyBorder="1" applyAlignment="1">
      <alignment vertical="top" wrapText="1"/>
    </xf>
    <xf numFmtId="0" fontId="18" fillId="0" borderId="0" xfId="271" applyFont="1" applyAlignment="1">
      <alignment horizontal="left" vertical="top"/>
    </xf>
    <xf numFmtId="0" fontId="54" fillId="0" borderId="0" xfId="569" applyFont="1"/>
    <xf numFmtId="0" fontId="18" fillId="0" borderId="0" xfId="0" applyFont="1" applyAlignment="1">
      <alignment horizontal="left" vertical="top"/>
    </xf>
    <xf numFmtId="4" fontId="18" fillId="0" borderId="0" xfId="1192" applyNumberFormat="1" applyAlignment="1">
      <alignment vertical="top" wrapText="1"/>
    </xf>
    <xf numFmtId="0" fontId="25" fillId="0" borderId="16" xfId="271" applyFont="1" applyBorder="1"/>
    <xf numFmtId="0" fontId="61" fillId="0" borderId="0" xfId="569" applyFont="1"/>
    <xf numFmtId="0" fontId="42" fillId="0" borderId="0" xfId="569" applyFont="1"/>
    <xf numFmtId="0" fontId="18" fillId="0" borderId="0" xfId="1192" applyAlignment="1">
      <alignment vertical="top" wrapText="1"/>
    </xf>
    <xf numFmtId="49" fontId="18" fillId="0" borderId="0" xfId="1192" applyNumberFormat="1" applyAlignment="1">
      <alignment vertical="top" wrapText="1"/>
    </xf>
    <xf numFmtId="0" fontId="56" fillId="0" borderId="9" xfId="543" applyFont="1" applyBorder="1" applyAlignment="1">
      <alignment vertical="top"/>
    </xf>
    <xf numFmtId="0" fontId="18" fillId="0" borderId="0" xfId="0" applyFont="1" applyAlignment="1">
      <alignment vertical="center"/>
    </xf>
    <xf numFmtId="0" fontId="119" fillId="0" borderId="0" xfId="0" applyFont="1"/>
    <xf numFmtId="3" fontId="106" fillId="0" borderId="0" xfId="0" applyNumberFormat="1" applyFont="1"/>
    <xf numFmtId="0" fontId="106" fillId="0" borderId="0" xfId="0" applyFont="1" applyAlignment="1">
      <alignment horizontal="left"/>
    </xf>
    <xf numFmtId="168" fontId="120" fillId="0" borderId="0" xfId="0" applyNumberFormat="1" applyFont="1" applyAlignment="1">
      <alignment horizontal="left" vertical="top"/>
    </xf>
    <xf numFmtId="0" fontId="106" fillId="0" borderId="0" xfId="0" applyFont="1" applyAlignment="1">
      <alignment horizontal="left" vertical="center"/>
    </xf>
    <xf numFmtId="0" fontId="122" fillId="0" borderId="0" xfId="0" applyFont="1"/>
    <xf numFmtId="172" fontId="18" fillId="0" borderId="8" xfId="543" applyNumberFormat="1" applyBorder="1"/>
    <xf numFmtId="0" fontId="18" fillId="0" borderId="8" xfId="4495" applyFont="1" applyBorder="1"/>
    <xf numFmtId="0" fontId="18" fillId="0" borderId="0" xfId="4495" applyFont="1"/>
    <xf numFmtId="0" fontId="24" fillId="0" borderId="0" xfId="4495" applyFont="1" applyAlignment="1">
      <alignment horizontal="center" vertical="center"/>
    </xf>
    <xf numFmtId="0" fontId="25" fillId="0" borderId="0" xfId="4495" applyFont="1" applyAlignment="1">
      <alignment horizontal="left"/>
    </xf>
    <xf numFmtId="0" fontId="25" fillId="0" borderId="0" xfId="4495" applyFont="1"/>
    <xf numFmtId="0" fontId="28" fillId="0" borderId="0" xfId="4495" applyFont="1" applyAlignment="1">
      <alignment horizontal="center" vertical="center"/>
    </xf>
    <xf numFmtId="0" fontId="28" fillId="0" borderId="27" xfId="4495" applyFont="1" applyBorder="1" applyAlignment="1">
      <alignment horizontal="center" vertical="center"/>
    </xf>
    <xf numFmtId="0" fontId="28" fillId="0" borderId="46" xfId="4495" applyFont="1" applyBorder="1" applyAlignment="1">
      <alignment horizontal="center" vertical="center"/>
    </xf>
    <xf numFmtId="0" fontId="25" fillId="0" borderId="0" xfId="4495" applyFont="1" applyAlignment="1">
      <alignment horizontal="right"/>
    </xf>
    <xf numFmtId="0" fontId="18" fillId="0" borderId="0" xfId="1192" quotePrefix="1" applyAlignment="1">
      <alignment horizontal="center"/>
    </xf>
    <xf numFmtId="0" fontId="48" fillId="0" borderId="0" xfId="4495" applyFont="1" applyAlignment="1">
      <alignment horizontal="left" vertical="center"/>
    </xf>
    <xf numFmtId="49" fontId="26" fillId="0" borderId="0" xfId="4495" applyNumberFormat="1" applyFont="1" applyAlignment="1">
      <alignment horizontal="left" vertical="top"/>
    </xf>
    <xf numFmtId="0" fontId="18" fillId="0" borderId="47" xfId="4495" applyFont="1" applyBorder="1" applyAlignment="1">
      <alignment horizontal="left" vertical="center"/>
    </xf>
    <xf numFmtId="0" fontId="28" fillId="0" borderId="48" xfId="4495" applyFont="1" applyBorder="1" applyAlignment="1">
      <alignment horizontal="center" vertical="center"/>
    </xf>
    <xf numFmtId="0" fontId="26" fillId="0" borderId="0" xfId="4495" applyFont="1"/>
    <xf numFmtId="0" fontId="26" fillId="0" borderId="0" xfId="4495" applyFont="1" applyAlignment="1">
      <alignment horizontal="left" vertical="top"/>
    </xf>
    <xf numFmtId="0" fontId="123" fillId="0" borderId="0" xfId="4496" applyFont="1" applyAlignment="1">
      <alignment horizontal="left" vertical="top" wrapText="1"/>
    </xf>
    <xf numFmtId="0" fontId="123" fillId="0" borderId="54" xfId="4496" applyFont="1" applyBorder="1" applyAlignment="1">
      <alignment horizontal="left" vertical="top" wrapText="1"/>
    </xf>
    <xf numFmtId="0" fontId="18" fillId="0" borderId="0" xfId="4495" applyFont="1" applyAlignment="1">
      <alignment horizontal="left" vertical="center"/>
    </xf>
    <xf numFmtId="0" fontId="124" fillId="0" borderId="0" xfId="4496" applyFont="1" applyAlignment="1">
      <alignment vertical="center"/>
    </xf>
    <xf numFmtId="0" fontId="123" fillId="0" borderId="0" xfId="4496" applyFont="1"/>
    <xf numFmtId="0" fontId="123" fillId="0" borderId="0" xfId="4496" applyFont="1" applyAlignment="1">
      <alignment vertical="center"/>
    </xf>
    <xf numFmtId="0" fontId="125" fillId="0" borderId="0" xfId="4496" applyFont="1" applyAlignment="1">
      <alignment vertical="center"/>
    </xf>
    <xf numFmtId="0" fontId="18" fillId="0" borderId="0" xfId="4496" applyFont="1" applyAlignment="1">
      <alignment vertical="center"/>
    </xf>
    <xf numFmtId="0" fontId="26" fillId="0" borderId="3" xfId="4495" applyFont="1" applyBorder="1" applyAlignment="1">
      <alignment vertical="top" wrapText="1"/>
    </xf>
    <xf numFmtId="0" fontId="26" fillId="0" borderId="4" xfId="4495" applyFont="1" applyBorder="1" applyAlignment="1">
      <alignment vertical="top" wrapText="1"/>
    </xf>
    <xf numFmtId="164" fontId="121" fillId="0" borderId="4" xfId="4495" applyNumberFormat="1" applyBorder="1" applyAlignment="1">
      <alignment horizontal="right"/>
    </xf>
    <xf numFmtId="0" fontId="26" fillId="0" borderId="4" xfId="4495" applyFont="1" applyBorder="1"/>
    <xf numFmtId="0" fontId="25" fillId="0" borderId="5" xfId="4495" applyFont="1" applyBorder="1" applyAlignment="1">
      <alignment horizontal="right"/>
    </xf>
    <xf numFmtId="0" fontId="18" fillId="0" borderId="16" xfId="4495" applyFont="1" applyBorder="1"/>
    <xf numFmtId="0" fontId="18" fillId="0" borderId="16" xfId="4495" applyFont="1" applyBorder="1" applyAlignment="1">
      <alignment horizontal="left" vertical="top"/>
    </xf>
    <xf numFmtId="0" fontId="26" fillId="0" borderId="16" xfId="4495" applyFont="1" applyBorder="1" applyAlignment="1">
      <alignment horizontal="left" vertical="top" wrapText="1"/>
    </xf>
    <xf numFmtId="0" fontId="26" fillId="0" borderId="45" xfId="4495" applyFont="1" applyBorder="1" applyAlignment="1">
      <alignment horizontal="left" vertical="top" wrapText="1"/>
    </xf>
    <xf numFmtId="0" fontId="121" fillId="0" borderId="0" xfId="4495"/>
    <xf numFmtId="0" fontId="19" fillId="0" borderId="0" xfId="244" applyFill="1" applyBorder="1" applyAlignment="1" applyProtection="1">
      <alignment horizontal="left" vertical="top"/>
    </xf>
    <xf numFmtId="0" fontId="19" fillId="0" borderId="0" xfId="244" applyFill="1" applyBorder="1" applyAlignment="1" applyProtection="1">
      <alignment horizontal="left" vertical="top" wrapText="1"/>
    </xf>
    <xf numFmtId="0" fontId="26" fillId="0" borderId="0" xfId="4495" applyFont="1" applyAlignment="1">
      <alignment horizontal="left" vertical="top" wrapText="1"/>
    </xf>
    <xf numFmtId="0" fontId="26" fillId="0" borderId="0" xfId="4495" applyFont="1" applyAlignment="1">
      <alignment horizontal="right" vertical="top"/>
    </xf>
    <xf numFmtId="0" fontId="18" fillId="0" borderId="0" xfId="4495" applyFont="1" applyAlignment="1">
      <alignment vertical="center" wrapText="1"/>
    </xf>
    <xf numFmtId="0" fontId="123" fillId="0" borderId="53" xfId="4496" applyFont="1" applyBorder="1" applyAlignment="1">
      <alignment vertical="top" wrapText="1"/>
    </xf>
    <xf numFmtId="0" fontId="123" fillId="0" borderId="0" xfId="4496" applyFont="1" applyAlignment="1">
      <alignment vertical="top" wrapText="1"/>
    </xf>
    <xf numFmtId="10" fontId="123" fillId="0" borderId="0" xfId="4496" applyNumberFormat="1" applyFont="1" applyAlignment="1">
      <alignment vertical="top" wrapText="1"/>
    </xf>
    <xf numFmtId="0" fontId="123" fillId="0" borderId="54" xfId="4496" applyFont="1" applyBorder="1" applyAlignment="1">
      <alignment vertical="top" wrapText="1"/>
    </xf>
    <xf numFmtId="0" fontId="123" fillId="0" borderId="0" xfId="4496" applyFont="1" applyAlignment="1">
      <alignment vertical="top"/>
    </xf>
    <xf numFmtId="165" fontId="123" fillId="0" borderId="0" xfId="4496" applyNumberFormat="1" applyFont="1" applyAlignment="1">
      <alignment vertical="top" wrapText="1"/>
    </xf>
    <xf numFmtId="0" fontId="25" fillId="0" borderId="57" xfId="4495" applyFont="1" applyBorder="1"/>
    <xf numFmtId="0" fontId="25" fillId="0" borderId="58" xfId="4495" applyFont="1" applyBorder="1"/>
    <xf numFmtId="0" fontId="25" fillId="0" borderId="58" xfId="4495" applyFont="1" applyBorder="1" applyAlignment="1">
      <alignment horizontal="right"/>
    </xf>
    <xf numFmtId="0" fontId="25" fillId="0" borderId="59" xfId="4495" applyFont="1" applyBorder="1" applyAlignment="1">
      <alignment horizontal="right"/>
    </xf>
    <xf numFmtId="0" fontId="123" fillId="0" borderId="53" xfId="4496" applyFont="1" applyBorder="1" applyAlignment="1">
      <alignment horizontal="left" vertical="top" wrapText="1"/>
    </xf>
    <xf numFmtId="0" fontId="123" fillId="0" borderId="0" xfId="4496" applyFont="1" applyAlignment="1">
      <alignment horizontal="left" vertical="top"/>
    </xf>
    <xf numFmtId="0" fontId="28" fillId="0" borderId="57" xfId="4495" applyFont="1" applyBorder="1" applyAlignment="1">
      <alignment horizontal="center" vertical="center"/>
    </xf>
    <xf numFmtId="0" fontId="28" fillId="0" borderId="58" xfId="4495" applyFont="1" applyBorder="1" applyAlignment="1">
      <alignment horizontal="center" vertical="center"/>
    </xf>
    <xf numFmtId="0" fontId="28" fillId="0" borderId="59" xfId="4495" applyFont="1" applyBorder="1" applyAlignment="1">
      <alignment horizontal="center" vertical="center"/>
    </xf>
    <xf numFmtId="0" fontId="25" fillId="0" borderId="0" xfId="4495" applyFont="1" applyAlignment="1">
      <alignment horizontal="center"/>
    </xf>
    <xf numFmtId="0" fontId="25" fillId="0" borderId="8" xfId="4495" applyFont="1" applyBorder="1"/>
    <xf numFmtId="0" fontId="26" fillId="0" borderId="0" xfId="4495" applyFont="1" applyAlignment="1">
      <alignment horizontal="left"/>
    </xf>
    <xf numFmtId="0" fontId="25" fillId="0" borderId="0" xfId="4495" applyFont="1" applyAlignment="1">
      <alignment horizontal="center" vertical="top"/>
    </xf>
    <xf numFmtId="0" fontId="18" fillId="0" borderId="0" xfId="4495" applyFont="1" applyAlignment="1">
      <alignment horizontal="center"/>
    </xf>
    <xf numFmtId="0" fontId="34" fillId="0" borderId="0" xfId="4495" applyFont="1"/>
    <xf numFmtId="0" fontId="26" fillId="0" borderId="8" xfId="4495" applyFont="1" applyBorder="1"/>
    <xf numFmtId="0" fontId="54" fillId="0" borderId="8" xfId="4495" applyFont="1" applyBorder="1"/>
    <xf numFmtId="1" fontId="18" fillId="0" borderId="0" xfId="1192" applyNumberFormat="1"/>
    <xf numFmtId="0" fontId="18" fillId="0" borderId="3" xfId="4495" applyFont="1" applyBorder="1"/>
    <xf numFmtId="0" fontId="18" fillId="0" borderId="4" xfId="4495" applyFont="1" applyBorder="1"/>
    <xf numFmtId="0" fontId="18" fillId="0" borderId="0" xfId="1192" applyAlignment="1">
      <alignment wrapText="1"/>
    </xf>
    <xf numFmtId="0" fontId="26" fillId="0" borderId="0" xfId="4495" applyFont="1" applyAlignment="1">
      <alignment vertical="top" wrapText="1"/>
    </xf>
    <xf numFmtId="0" fontId="26" fillId="0" borderId="0" xfId="1192" applyFont="1"/>
    <xf numFmtId="0" fontId="18" fillId="0" borderId="0" xfId="4495" applyFont="1" applyAlignment="1">
      <alignment horizontal="left"/>
    </xf>
    <xf numFmtId="0" fontId="26" fillId="0" borderId="3" xfId="4495" applyFont="1" applyBorder="1"/>
    <xf numFmtId="0" fontId="18" fillId="0" borderId="4" xfId="4495" applyFont="1" applyBorder="1" applyAlignment="1">
      <alignment horizontal="right"/>
    </xf>
    <xf numFmtId="1" fontId="18" fillId="0" borderId="0" xfId="4495" applyNumberFormat="1" applyFont="1" applyAlignment="1">
      <alignment horizontal="center"/>
    </xf>
    <xf numFmtId="0" fontId="54" fillId="0" borderId="0" xfId="4495" applyFont="1"/>
    <xf numFmtId="0" fontId="18" fillId="0" borderId="0" xfId="4495" applyFont="1" applyAlignment="1">
      <alignment horizontal="right"/>
    </xf>
    <xf numFmtId="0" fontId="26" fillId="0" borderId="0" xfId="4495" applyFont="1" applyAlignment="1">
      <alignment vertical="top"/>
    </xf>
    <xf numFmtId="0" fontId="26" fillId="0" borderId="27" xfId="4495" applyFont="1" applyBorder="1"/>
    <xf numFmtId="0" fontId="25" fillId="0" borderId="0" xfId="4495" applyFont="1" applyAlignment="1">
      <alignment vertical="top"/>
    </xf>
    <xf numFmtId="0" fontId="36" fillId="0" borderId="0" xfId="4495" applyFont="1" applyAlignment="1">
      <alignment vertical="top" wrapText="1"/>
    </xf>
    <xf numFmtId="0" fontId="25" fillId="0" borderId="0" xfId="4495" applyFont="1" applyAlignment="1">
      <alignment horizontal="left" vertical="top" wrapText="1"/>
    </xf>
    <xf numFmtId="0" fontId="18" fillId="0" borderId="0" xfId="4495" applyFont="1" applyAlignment="1">
      <alignment horizontal="left" vertical="top"/>
    </xf>
    <xf numFmtId="0" fontId="36" fillId="0" borderId="0" xfId="4495" applyFont="1" applyAlignment="1">
      <alignment vertical="top"/>
    </xf>
    <xf numFmtId="0" fontId="18" fillId="0" borderId="10" xfId="4495" applyFont="1" applyBorder="1" applyAlignment="1">
      <alignment horizontal="center"/>
    </xf>
    <xf numFmtId="0" fontId="18" fillId="0" borderId="16" xfId="4495" applyFont="1" applyBorder="1" applyAlignment="1">
      <alignment horizontal="center"/>
    </xf>
    <xf numFmtId="0" fontId="34" fillId="0" borderId="16" xfId="4495" applyFont="1" applyBorder="1"/>
    <xf numFmtId="0" fontId="26" fillId="0" borderId="16" xfId="4495" applyFont="1" applyBorder="1"/>
    <xf numFmtId="0" fontId="18" fillId="0" borderId="0" xfId="4496" applyFont="1" applyAlignment="1">
      <alignment vertical="top" wrapText="1"/>
    </xf>
    <xf numFmtId="0" fontId="25" fillId="0" borderId="0" xfId="1192" applyFont="1" applyAlignment="1">
      <alignment horizontal="right"/>
    </xf>
    <xf numFmtId="0" fontId="18" fillId="0" borderId="0" xfId="4496" applyFont="1"/>
    <xf numFmtId="0" fontId="18" fillId="0" borderId="0" xfId="4496" applyFont="1" applyAlignment="1">
      <alignment horizontal="left"/>
    </xf>
    <xf numFmtId="0" fontId="18" fillId="0" borderId="0" xfId="4496" applyFont="1" applyAlignment="1">
      <alignment horizontal="right"/>
    </xf>
    <xf numFmtId="0" fontId="26" fillId="0" borderId="0" xfId="4496" applyFont="1" applyAlignment="1">
      <alignment vertical="top" wrapText="1"/>
    </xf>
    <xf numFmtId="0" fontId="18" fillId="0" borderId="4" xfId="4496" applyFont="1" applyBorder="1"/>
    <xf numFmtId="0" fontId="25" fillId="0" borderId="4" xfId="4496" applyFont="1" applyBorder="1" applyAlignment="1">
      <alignment horizontal="right"/>
    </xf>
    <xf numFmtId="0" fontId="26" fillId="0" borderId="27" xfId="4495" applyFont="1" applyBorder="1" applyAlignment="1">
      <alignment horizontal="left" vertical="top"/>
    </xf>
    <xf numFmtId="0" fontId="18" fillId="0" borderId="27" xfId="4495" applyFont="1" applyBorder="1" applyAlignment="1">
      <alignment horizontal="left" vertical="top"/>
    </xf>
    <xf numFmtId="0" fontId="25" fillId="0" borderId="27" xfId="4495" applyFont="1" applyBorder="1" applyAlignment="1">
      <alignment horizontal="right"/>
    </xf>
    <xf numFmtId="0" fontId="18" fillId="0" borderId="27" xfId="4495" applyFont="1" applyBorder="1" applyAlignment="1">
      <alignment horizontal="center"/>
    </xf>
    <xf numFmtId="0" fontId="18" fillId="0" borderId="46" xfId="4495" applyFont="1" applyBorder="1" applyAlignment="1">
      <alignment horizontal="center"/>
    </xf>
    <xf numFmtId="164" fontId="26" fillId="0" borderId="0" xfId="4495" applyNumberFormat="1" applyFont="1" applyAlignment="1">
      <alignment horizontal="left" vertical="top" wrapText="1"/>
    </xf>
    <xf numFmtId="0" fontId="29" fillId="0" borderId="0" xfId="4495" applyFont="1"/>
    <xf numFmtId="0" fontId="26" fillId="0" borderId="0" xfId="4495" applyFont="1" applyAlignment="1">
      <alignment horizontal="right"/>
    </xf>
    <xf numFmtId="0" fontId="18" fillId="0" borderId="27" xfId="543" applyBorder="1"/>
    <xf numFmtId="0" fontId="18" fillId="0" borderId="46" xfId="543" applyBorder="1"/>
    <xf numFmtId="0" fontId="25" fillId="0" borderId="0" xfId="4495" applyFont="1" applyAlignment="1">
      <alignment horizontal="left" vertical="top"/>
    </xf>
    <xf numFmtId="1" fontId="121" fillId="0" borderId="0" xfId="4495" applyNumberFormat="1"/>
    <xf numFmtId="0" fontId="18" fillId="0" borderId="0" xfId="4495" applyFont="1" applyAlignment="1">
      <alignment vertical="top" wrapText="1"/>
    </xf>
    <xf numFmtId="0" fontId="18" fillId="0" borderId="0" xfId="4495" applyFont="1" applyAlignment="1">
      <alignment horizontal="left" vertical="top" wrapText="1"/>
    </xf>
    <xf numFmtId="0" fontId="18" fillId="0" borderId="50" xfId="4495" applyFont="1" applyBorder="1" applyAlignment="1">
      <alignment vertical="top"/>
    </xf>
    <xf numFmtId="1" fontId="26" fillId="0" borderId="8" xfId="4495" applyNumberFormat="1" applyFont="1" applyBorder="1"/>
    <xf numFmtId="0" fontId="18" fillId="0" borderId="0" xfId="543" applyAlignment="1">
      <alignment vertical="top"/>
    </xf>
    <xf numFmtId="0" fontId="26" fillId="0" borderId="51" xfId="4495" applyFont="1" applyBorder="1" applyAlignment="1">
      <alignment horizontal="left" vertical="top"/>
    </xf>
    <xf numFmtId="0" fontId="26" fillId="0" borderId="52" xfId="4495" applyFont="1" applyBorder="1" applyAlignment="1">
      <alignment horizontal="left" vertical="top"/>
    </xf>
    <xf numFmtId="0" fontId="121" fillId="0" borderId="0" xfId="4495" applyAlignment="1" applyProtection="1">
      <alignment horizontal="center"/>
      <protection locked="0"/>
    </xf>
    <xf numFmtId="0" fontId="18" fillId="0" borderId="53" xfId="4495" applyFont="1" applyBorder="1" applyAlignment="1">
      <alignment vertical="top"/>
    </xf>
    <xf numFmtId="0" fontId="18" fillId="0" borderId="54" xfId="4495" applyFont="1" applyBorder="1" applyAlignment="1">
      <alignment vertical="top" wrapText="1"/>
    </xf>
    <xf numFmtId="0" fontId="62" fillId="0" borderId="53" xfId="4495" applyFont="1" applyBorder="1"/>
    <xf numFmtId="0" fontId="26" fillId="0" borderId="54" xfId="4495" applyFont="1" applyBorder="1" applyAlignment="1">
      <alignment horizontal="left" vertical="top"/>
    </xf>
    <xf numFmtId="0" fontId="18" fillId="0" borderId="53" xfId="4495" applyFont="1" applyBorder="1" applyAlignment="1">
      <alignment vertical="center" wrapText="1"/>
    </xf>
    <xf numFmtId="0" fontId="62" fillId="0" borderId="57" xfId="4495" applyFont="1" applyBorder="1"/>
    <xf numFmtId="0" fontId="26" fillId="0" borderId="58" xfId="4495" applyFont="1" applyBorder="1" applyAlignment="1">
      <alignment horizontal="left" vertical="top"/>
    </xf>
    <xf numFmtId="0" fontId="26" fillId="0" borderId="12" xfId="4495" applyFont="1" applyBorder="1"/>
    <xf numFmtId="0" fontId="18" fillId="0" borderId="57" xfId="4495" applyFont="1" applyBorder="1" applyAlignment="1">
      <alignment vertical="center"/>
    </xf>
    <xf numFmtId="0" fontId="18" fillId="0" borderId="58" xfId="4495" applyFont="1" applyBorder="1" applyAlignment="1">
      <alignment vertical="top"/>
    </xf>
    <xf numFmtId="0" fontId="18" fillId="0" borderId="59" xfId="4495" applyFont="1" applyBorder="1" applyAlignment="1">
      <alignment vertical="top"/>
    </xf>
    <xf numFmtId="0" fontId="18" fillId="0" borderId="0" xfId="4495" applyFont="1" applyAlignment="1">
      <alignment vertical="top"/>
    </xf>
    <xf numFmtId="0" fontId="26" fillId="0" borderId="4" xfId="4495" applyFont="1" applyBorder="1" applyAlignment="1">
      <alignment horizontal="left" vertical="top"/>
    </xf>
    <xf numFmtId="0" fontId="18" fillId="0" borderId="4" xfId="4495" applyFont="1" applyBorder="1" applyAlignment="1">
      <alignment horizontal="left" vertical="top"/>
    </xf>
    <xf numFmtId="0" fontId="18" fillId="0" borderId="2" xfId="4495" applyFont="1" applyBorder="1"/>
    <xf numFmtId="0" fontId="26" fillId="0" borderId="2" xfId="4495" applyFont="1" applyBorder="1"/>
    <xf numFmtId="0" fontId="18" fillId="0" borderId="2" xfId="4495" applyFont="1" applyBorder="1" applyAlignment="1">
      <alignment horizontal="center"/>
    </xf>
    <xf numFmtId="0" fontId="26" fillId="0" borderId="7" xfId="4495" applyFont="1" applyBorder="1"/>
    <xf numFmtId="0" fontId="34" fillId="0" borderId="0" xfId="4495" applyFont="1" applyAlignment="1">
      <alignment horizontal="right"/>
    </xf>
    <xf numFmtId="0" fontId="126" fillId="0" borderId="0" xfId="4495" applyFont="1" applyAlignment="1">
      <alignment horizontal="left" vertical="top" wrapText="1"/>
    </xf>
    <xf numFmtId="0" fontId="34" fillId="0" borderId="0" xfId="4495" applyFont="1" applyAlignment="1">
      <alignment horizontal="left" vertical="top"/>
    </xf>
    <xf numFmtId="0" fontId="26" fillId="0" borderId="0" xfId="4495" quotePrefix="1" applyFont="1" applyAlignment="1">
      <alignment horizontal="right"/>
    </xf>
    <xf numFmtId="0" fontId="18" fillId="0" borderId="0" xfId="4497"/>
    <xf numFmtId="0" fontId="26" fillId="0" borderId="0" xfId="4495" applyFont="1" applyAlignment="1">
      <alignment horizontal="left" vertical="top" wrapText="1" shrinkToFit="1"/>
    </xf>
    <xf numFmtId="0" fontId="121" fillId="0" borderId="0" xfId="4495" applyAlignment="1">
      <alignment vertical="top" wrapText="1"/>
    </xf>
    <xf numFmtId="0" fontId="26" fillId="0" borderId="4" xfId="4495" applyFont="1" applyBorder="1" applyAlignment="1">
      <alignment horizontal="left" vertical="top" wrapText="1" shrinkToFit="1"/>
    </xf>
    <xf numFmtId="0" fontId="34" fillId="0" borderId="8" xfId="4495" applyFont="1" applyBorder="1"/>
    <xf numFmtId="0" fontId="26" fillId="0" borderId="0" xfId="4495" applyFont="1" applyAlignment="1">
      <alignment horizontal="center"/>
    </xf>
    <xf numFmtId="0" fontId="26" fillId="0" borderId="0" xfId="4495" quotePrefix="1" applyFont="1"/>
    <xf numFmtId="0" fontId="26" fillId="0" borderId="0" xfId="4495" applyFont="1" applyAlignment="1">
      <alignment horizontal="left" vertical="top" shrinkToFit="1"/>
    </xf>
    <xf numFmtId="0" fontId="48" fillId="0" borderId="0" xfId="4495" applyFont="1"/>
    <xf numFmtId="0" fontId="26" fillId="0" borderId="3" xfId="4495" applyFont="1" applyBorder="1" applyAlignment="1">
      <alignment horizontal="center"/>
    </xf>
    <xf numFmtId="0" fontId="121" fillId="0" borderId="8" xfId="4495" applyBorder="1"/>
    <xf numFmtId="0" fontId="25" fillId="0" borderId="8" xfId="4495" applyFont="1" applyBorder="1" applyAlignment="1">
      <alignment vertical="top"/>
    </xf>
    <xf numFmtId="0" fontId="121" fillId="0" borderId="0" xfId="4495" applyAlignment="1">
      <alignment vertical="top"/>
    </xf>
    <xf numFmtId="0" fontId="25" fillId="0" borderId="4" xfId="4495" applyFont="1" applyBorder="1" applyAlignment="1">
      <alignment horizontal="center" vertical="top"/>
    </xf>
    <xf numFmtId="0" fontId="126" fillId="0" borderId="0" xfId="4495" applyFont="1" applyAlignment="1">
      <alignment horizontal="left" vertical="top"/>
    </xf>
    <xf numFmtId="0" fontId="126" fillId="0" borderId="4" xfId="4495" applyFont="1" applyBorder="1" applyAlignment="1">
      <alignment horizontal="left" vertical="top"/>
    </xf>
    <xf numFmtId="168" fontId="18" fillId="0" borderId="0" xfId="4497" applyNumberFormat="1"/>
    <xf numFmtId="1" fontId="26" fillId="0" borderId="0" xfId="4495" applyNumberFormat="1" applyFont="1" applyAlignment="1">
      <alignment horizontal="center" vertical="top"/>
    </xf>
    <xf numFmtId="0" fontId="130" fillId="0" borderId="0" xfId="4495" applyFont="1" applyAlignment="1">
      <alignment vertical="top" wrapText="1"/>
    </xf>
    <xf numFmtId="0" fontId="130" fillId="0" borderId="0" xfId="4495" applyFont="1" applyAlignment="1">
      <alignment horizontal="left" vertical="top" wrapText="1"/>
    </xf>
    <xf numFmtId="0" fontId="26" fillId="0" borderId="6" xfId="4495" applyFont="1" applyBorder="1"/>
    <xf numFmtId="1" fontId="26" fillId="0" borderId="8" xfId="4495" applyNumberFormat="1" applyFont="1" applyBorder="1" applyAlignment="1">
      <alignment horizontal="center" vertical="top"/>
    </xf>
    <xf numFmtId="0" fontId="121" fillId="0" borderId="12" xfId="4495" applyBorder="1"/>
    <xf numFmtId="0" fontId="26" fillId="0" borderId="9" xfId="4495" applyFont="1" applyBorder="1"/>
    <xf numFmtId="0" fontId="121" fillId="0" borderId="10" xfId="4495" applyBorder="1"/>
    <xf numFmtId="0" fontId="34" fillId="0" borderId="3" xfId="4495" applyFont="1" applyBorder="1"/>
    <xf numFmtId="0" fontId="25" fillId="0" borderId="4" xfId="4495" applyFont="1" applyBorder="1"/>
    <xf numFmtId="0" fontId="121" fillId="0" borderId="12" xfId="4495" applyBorder="1" applyAlignment="1">
      <alignment vertical="top"/>
    </xf>
    <xf numFmtId="0" fontId="34" fillId="0" borderId="1" xfId="4495" applyFont="1" applyBorder="1"/>
    <xf numFmtId="0" fontId="130" fillId="0" borderId="2" xfId="4495" applyFont="1" applyBorder="1" applyAlignment="1">
      <alignment horizontal="left" wrapText="1"/>
    </xf>
    <xf numFmtId="0" fontId="130" fillId="0" borderId="2" xfId="4495" applyFont="1" applyBorder="1" applyAlignment="1">
      <alignment horizontal="left"/>
    </xf>
    <xf numFmtId="0" fontId="130" fillId="0" borderId="7" xfId="4495" applyFont="1" applyBorder="1" applyAlignment="1">
      <alignment horizontal="left" wrapText="1"/>
    </xf>
    <xf numFmtId="0" fontId="130" fillId="0" borderId="0" xfId="4495" applyFont="1" applyAlignment="1">
      <alignment horizontal="left" wrapText="1"/>
    </xf>
    <xf numFmtId="0" fontId="34" fillId="0" borderId="9" xfId="4495" applyFont="1" applyBorder="1"/>
    <xf numFmtId="0" fontId="26" fillId="0" borderId="10" xfId="4495" applyFont="1" applyBorder="1"/>
    <xf numFmtId="0" fontId="130" fillId="0" borderId="0" xfId="4495" applyFont="1" applyAlignment="1">
      <alignment wrapText="1"/>
    </xf>
    <xf numFmtId="0" fontId="34" fillId="0" borderId="9" xfId="4495" applyFont="1" applyBorder="1" applyAlignment="1">
      <alignment horizontal="center"/>
    </xf>
    <xf numFmtId="0" fontId="25" fillId="0" borderId="10" xfId="4495" applyFont="1" applyBorder="1"/>
    <xf numFmtId="0" fontId="36" fillId="0" borderId="0" xfId="4495" applyFont="1"/>
    <xf numFmtId="0" fontId="26" fillId="0" borderId="50" xfId="4495" applyFont="1" applyBorder="1"/>
    <xf numFmtId="0" fontId="26" fillId="0" borderId="51" xfId="4495" applyFont="1" applyBorder="1"/>
    <xf numFmtId="1" fontId="26" fillId="0" borderId="51" xfId="4495" quotePrefix="1" applyNumberFormat="1" applyFont="1" applyBorder="1" applyAlignment="1">
      <alignment horizontal="center" vertical="top"/>
    </xf>
    <xf numFmtId="0" fontId="25" fillId="0" borderId="51" xfId="4495" applyFont="1" applyBorder="1"/>
    <xf numFmtId="0" fontId="25" fillId="0" borderId="52" xfId="4495" applyFont="1" applyBorder="1" applyAlignment="1">
      <alignment horizontal="center"/>
    </xf>
    <xf numFmtId="0" fontId="18" fillId="0" borderId="53" xfId="4495" applyFont="1" applyBorder="1"/>
    <xf numFmtId="1" fontId="26" fillId="0" borderId="0" xfId="4495" quotePrefix="1" applyNumberFormat="1" applyFont="1" applyAlignment="1">
      <alignment horizontal="center" vertical="top"/>
    </xf>
    <xf numFmtId="0" fontId="25" fillId="0" borderId="54" xfId="4495" applyFont="1" applyBorder="1" applyAlignment="1">
      <alignment horizontal="center"/>
    </xf>
    <xf numFmtId="0" fontId="34" fillId="0" borderId="0" xfId="4495" applyFont="1" applyAlignment="1">
      <alignment vertical="top"/>
    </xf>
    <xf numFmtId="0" fontId="26" fillId="0" borderId="61" xfId="4495" applyFont="1" applyBorder="1"/>
    <xf numFmtId="0" fontId="121" fillId="0" borderId="58" xfId="4495" applyBorder="1" applyAlignment="1">
      <alignment horizontal="center"/>
    </xf>
    <xf numFmtId="1" fontId="26" fillId="0" borderId="58" xfId="4495" quotePrefix="1" applyNumberFormat="1" applyFont="1" applyBorder="1" applyAlignment="1">
      <alignment horizontal="center" vertical="top"/>
    </xf>
    <xf numFmtId="0" fontId="34" fillId="0" borderId="58" xfId="4495" applyFont="1" applyBorder="1" applyAlignment="1">
      <alignment vertical="top"/>
    </xf>
    <xf numFmtId="0" fontId="26" fillId="0" borderId="58" xfId="4495" applyFont="1" applyBorder="1" applyAlignment="1">
      <alignment vertical="top" wrapText="1"/>
    </xf>
    <xf numFmtId="0" fontId="26" fillId="0" borderId="58" xfId="4495" applyFont="1" applyBorder="1"/>
    <xf numFmtId="0" fontId="25" fillId="0" borderId="58" xfId="4495" applyFont="1" applyBorder="1" applyAlignment="1">
      <alignment horizontal="center"/>
    </xf>
    <xf numFmtId="0" fontId="121" fillId="0" borderId="61" xfId="4495" applyBorder="1"/>
    <xf numFmtId="0" fontId="121" fillId="0" borderId="0" xfId="4495" applyAlignment="1">
      <alignment horizontal="center"/>
    </xf>
    <xf numFmtId="0" fontId="18" fillId="0" borderId="53" xfId="543" applyBorder="1"/>
    <xf numFmtId="0" fontId="26" fillId="0" borderId="54" xfId="4495" applyFont="1" applyBorder="1"/>
    <xf numFmtId="0" fontId="18" fillId="0" borderId="58" xfId="543" applyBorder="1"/>
    <xf numFmtId="1" fontId="26" fillId="0" borderId="58" xfId="4495" applyNumberFormat="1" applyFont="1" applyBorder="1" applyAlignment="1">
      <alignment horizontal="center" vertical="top"/>
    </xf>
    <xf numFmtId="0" fontId="34" fillId="0" borderId="58" xfId="4495" applyFont="1" applyBorder="1" applyAlignment="1">
      <alignment vertical="center"/>
    </xf>
    <xf numFmtId="0" fontId="121" fillId="0" borderId="58" xfId="4495" applyBorder="1" applyAlignment="1">
      <alignment vertical="top" wrapText="1"/>
    </xf>
    <xf numFmtId="0" fontId="18" fillId="0" borderId="58" xfId="4495" applyFont="1" applyBorder="1"/>
    <xf numFmtId="0" fontId="34" fillId="0" borderId="0" xfId="4495" applyFont="1" applyAlignment="1">
      <alignment vertical="center"/>
    </xf>
    <xf numFmtId="0" fontId="26" fillId="0" borderId="53" xfId="4495" applyFont="1" applyBorder="1"/>
    <xf numFmtId="0" fontId="18" fillId="0" borderId="57" xfId="543" applyBorder="1"/>
    <xf numFmtId="0" fontId="26" fillId="0" borderId="58" xfId="4495" applyFont="1" applyBorder="1" applyAlignment="1">
      <alignment vertical="top"/>
    </xf>
    <xf numFmtId="0" fontId="26" fillId="0" borderId="59" xfId="4495" applyFont="1" applyBorder="1"/>
    <xf numFmtId="0" fontId="26" fillId="0" borderId="57" xfId="4495" applyFont="1" applyBorder="1"/>
    <xf numFmtId="0" fontId="18" fillId="0" borderId="51" xfId="4495" applyFont="1" applyBorder="1"/>
    <xf numFmtId="0" fontId="26" fillId="0" borderId="52" xfId="4495" applyFont="1" applyBorder="1"/>
    <xf numFmtId="0" fontId="18" fillId="0" borderId="50" xfId="543" applyBorder="1"/>
    <xf numFmtId="0" fontId="18" fillId="0" borderId="51" xfId="543" applyBorder="1"/>
    <xf numFmtId="0" fontId="18" fillId="0" borderId="52" xfId="543" applyBorder="1"/>
    <xf numFmtId="0" fontId="26" fillId="0" borderId="0" xfId="4495" applyFont="1" applyAlignment="1">
      <alignment wrapText="1"/>
    </xf>
    <xf numFmtId="0" fontId="25" fillId="0" borderId="54" xfId="4495" applyFont="1" applyBorder="1" applyAlignment="1">
      <alignment horizontal="center" vertical="top"/>
    </xf>
    <xf numFmtId="0" fontId="121" fillId="0" borderId="53" xfId="4495" applyBorder="1" applyAlignment="1">
      <alignment horizontal="center"/>
    </xf>
    <xf numFmtId="2" fontId="26" fillId="0" borderId="0" xfId="4495" applyNumberFormat="1" applyFont="1" applyAlignment="1">
      <alignment horizontal="right"/>
    </xf>
    <xf numFmtId="2" fontId="26" fillId="0" borderId="8" xfId="4495" applyNumberFormat="1" applyFont="1" applyBorder="1" applyAlignment="1">
      <alignment horizontal="left"/>
    </xf>
    <xf numFmtId="0" fontId="26" fillId="0" borderId="8" xfId="4495" applyFont="1" applyBorder="1" applyAlignment="1">
      <alignment horizontal="right"/>
    </xf>
    <xf numFmtId="0" fontId="129" fillId="0" borderId="0" xfId="4495" applyFont="1"/>
    <xf numFmtId="0" fontId="121" fillId="0" borderId="57" xfId="4495" applyBorder="1" applyAlignment="1">
      <alignment horizontal="center"/>
    </xf>
    <xf numFmtId="0" fontId="25" fillId="0" borderId="59" xfId="4495" applyFont="1" applyBorder="1" applyAlignment="1">
      <alignment horizontal="center"/>
    </xf>
    <xf numFmtId="9" fontId="26" fillId="0" borderId="0" xfId="4495" applyNumberFormat="1" applyFont="1" applyAlignment="1">
      <alignment horizontal="left"/>
    </xf>
    <xf numFmtId="0" fontId="18" fillId="0" borderId="17" xfId="543" applyBorder="1"/>
    <xf numFmtId="0" fontId="18" fillId="0" borderId="16" xfId="543" applyBorder="1"/>
    <xf numFmtId="0" fontId="18" fillId="0" borderId="51" xfId="4495" quotePrefix="1" applyFont="1" applyBorder="1" applyAlignment="1">
      <alignment horizontal="center" vertical="top"/>
    </xf>
    <xf numFmtId="0" fontId="26" fillId="0" borderId="53" xfId="4495" applyFont="1" applyBorder="1" applyAlignment="1">
      <alignment horizontal="left" vertical="top"/>
    </xf>
    <xf numFmtId="0" fontId="26" fillId="0" borderId="0" xfId="4495" applyFont="1" applyAlignment="1">
      <alignment horizontal="center" vertical="top"/>
    </xf>
    <xf numFmtId="0" fontId="26" fillId="0" borderId="57" xfId="4495" applyFont="1" applyBorder="1" applyAlignment="1">
      <alignment horizontal="left" vertical="top"/>
    </xf>
    <xf numFmtId="0" fontId="26" fillId="0" borderId="58" xfId="4495" applyFont="1" applyBorder="1" applyAlignment="1">
      <alignment horizontal="center" vertical="top"/>
    </xf>
    <xf numFmtId="0" fontId="121" fillId="0" borderId="58" xfId="4495" applyBorder="1"/>
    <xf numFmtId="0" fontId="25" fillId="0" borderId="58" xfId="4495" applyFont="1" applyBorder="1" applyAlignment="1">
      <alignment vertical="top"/>
    </xf>
    <xf numFmtId="0" fontId="25" fillId="0" borderId="58" xfId="4495" applyFont="1" applyBorder="1" applyAlignment="1">
      <alignment horizontal="left" vertical="top"/>
    </xf>
    <xf numFmtId="0" fontId="25" fillId="0" borderId="51" xfId="4495" applyFont="1" applyBorder="1" applyAlignment="1">
      <alignment horizontal="left" vertical="top"/>
    </xf>
    <xf numFmtId="0" fontId="25" fillId="0" borderId="53" xfId="4495" applyFont="1" applyBorder="1" applyAlignment="1">
      <alignment horizontal="left" vertical="top"/>
    </xf>
    <xf numFmtId="0" fontId="54" fillId="0" borderId="0" xfId="4495" applyFont="1" applyAlignment="1">
      <alignment horizontal="left" vertical="top"/>
    </xf>
    <xf numFmtId="0" fontId="26" fillId="0" borderId="0" xfId="4495" quotePrefix="1" applyFont="1" applyAlignment="1">
      <alignment horizontal="center" vertical="top"/>
    </xf>
    <xf numFmtId="0" fontId="55" fillId="0" borderId="0" xfId="4495" applyFont="1" applyAlignment="1">
      <alignment horizontal="center"/>
    </xf>
    <xf numFmtId="0" fontId="55" fillId="0" borderId="0" xfId="4495" applyFont="1" applyAlignment="1">
      <alignment vertical="top"/>
    </xf>
    <xf numFmtId="0" fontId="108" fillId="0" borderId="0" xfId="4495" applyFont="1"/>
    <xf numFmtId="0" fontId="54" fillId="0" borderId="0" xfId="4495" applyFont="1" applyAlignment="1">
      <alignment vertical="top"/>
    </xf>
    <xf numFmtId="0" fontId="34" fillId="0" borderId="53" xfId="4495" applyFont="1" applyBorder="1"/>
    <xf numFmtId="2" fontId="26" fillId="0" borderId="8" xfId="4495" applyNumberFormat="1" applyFont="1" applyBorder="1" applyAlignment="1">
      <alignment horizontal="right"/>
    </xf>
    <xf numFmtId="0" fontId="25" fillId="0" borderId="50" xfId="4495" applyFont="1" applyBorder="1" applyAlignment="1">
      <alignment horizontal="left" vertical="top"/>
    </xf>
    <xf numFmtId="0" fontId="54" fillId="0" borderId="51" xfId="4495" applyFont="1" applyBorder="1" applyAlignment="1">
      <alignment horizontal="left" vertical="top"/>
    </xf>
    <xf numFmtId="0" fontId="121" fillId="0" borderId="53" xfId="4495" applyBorder="1"/>
    <xf numFmtId="0" fontId="108" fillId="0" borderId="0" xfId="4495" applyFont="1" applyAlignment="1">
      <alignment horizontal="left" vertical="top"/>
    </xf>
    <xf numFmtId="1" fontId="25" fillId="0" borderId="58" xfId="4495" applyNumberFormat="1" applyFont="1" applyBorder="1" applyAlignment="1">
      <alignment vertical="top"/>
    </xf>
    <xf numFmtId="172" fontId="25" fillId="0" borderId="8" xfId="543" applyNumberFormat="1" applyFont="1" applyBorder="1"/>
    <xf numFmtId="172" fontId="25" fillId="0" borderId="0" xfId="543" applyNumberFormat="1" applyFont="1"/>
    <xf numFmtId="0" fontId="34" fillId="0" borderId="0" xfId="4495" applyFont="1" applyAlignment="1">
      <alignment wrapText="1"/>
    </xf>
    <xf numFmtId="0" fontId="34" fillId="0" borderId="0" xfId="4495" applyFont="1" applyAlignment="1">
      <alignment horizontal="center"/>
    </xf>
    <xf numFmtId="0" fontId="34" fillId="0" borderId="0" xfId="4495" applyFont="1" applyAlignment="1">
      <alignment vertical="center" wrapText="1"/>
    </xf>
    <xf numFmtId="180" fontId="26" fillId="0" borderId="0" xfId="4495" applyNumberFormat="1" applyFont="1" applyAlignment="1">
      <alignment horizontal="center"/>
    </xf>
    <xf numFmtId="1" fontId="26" fillId="0" borderId="0" xfId="4495" applyNumberFormat="1" applyFont="1" applyAlignment="1">
      <alignment horizontal="center"/>
    </xf>
    <xf numFmtId="0" fontId="25" fillId="0" borderId="51" xfId="4495" applyFont="1" applyBorder="1" applyAlignment="1">
      <alignment horizontal="center"/>
    </xf>
    <xf numFmtId="0" fontId="25" fillId="0" borderId="51" xfId="4495" applyFont="1" applyBorder="1" applyAlignment="1">
      <alignment vertical="top"/>
    </xf>
    <xf numFmtId="0" fontId="25" fillId="0" borderId="53" xfId="4495" applyFont="1" applyBorder="1"/>
    <xf numFmtId="0" fontId="18" fillId="0" borderId="54" xfId="543" applyBorder="1"/>
    <xf numFmtId="49" fontId="26" fillId="0" borderId="0" xfId="4495" applyNumberFormat="1" applyFont="1" applyAlignment="1">
      <alignment horizontal="left" vertical="center" wrapText="1"/>
    </xf>
    <xf numFmtId="0" fontId="18" fillId="0" borderId="57" xfId="4495" applyFont="1" applyBorder="1"/>
    <xf numFmtId="1" fontId="18" fillId="0" borderId="0" xfId="4495" applyNumberFormat="1" applyFont="1" applyAlignment="1">
      <alignment vertical="center"/>
    </xf>
    <xf numFmtId="0" fontId="36" fillId="0" borderId="50" xfId="4495" applyFont="1" applyBorder="1"/>
    <xf numFmtId="0" fontId="26" fillId="0" borderId="51" xfId="4495" applyFont="1" applyBorder="1" applyAlignment="1">
      <alignment horizontal="center" vertical="top"/>
    </xf>
    <xf numFmtId="0" fontId="26" fillId="0" borderId="51" xfId="4495" applyFont="1" applyBorder="1" applyAlignment="1">
      <alignment vertical="top" wrapText="1"/>
    </xf>
    <xf numFmtId="0" fontId="26" fillId="0" borderId="51" xfId="4495" applyFont="1" applyBorder="1" applyAlignment="1">
      <alignment horizontal="left" vertical="top" wrapText="1"/>
    </xf>
    <xf numFmtId="0" fontId="18" fillId="0" borderId="0" xfId="4495" quotePrefix="1" applyFont="1" applyAlignment="1">
      <alignment horizontal="center" vertical="top"/>
    </xf>
    <xf numFmtId="1" fontId="26" fillId="0" borderId="0" xfId="4495" quotePrefix="1" applyNumberFormat="1" applyFont="1" applyAlignment="1">
      <alignment wrapText="1"/>
    </xf>
    <xf numFmtId="0" fontId="26" fillId="0" borderId="6" xfId="4495" applyFont="1" applyBorder="1" applyAlignment="1">
      <alignment horizontal="right"/>
    </xf>
    <xf numFmtId="0" fontId="123" fillId="0" borderId="0" xfId="4496" applyFont="1" applyAlignment="1">
      <alignment wrapText="1"/>
    </xf>
    <xf numFmtId="0" fontId="18" fillId="0" borderId="0" xfId="4496" applyFont="1" applyAlignment="1">
      <alignment wrapText="1"/>
    </xf>
    <xf numFmtId="0" fontId="34" fillId="0" borderId="51" xfId="4495" applyFont="1" applyBorder="1" applyAlignment="1">
      <alignment vertical="top"/>
    </xf>
    <xf numFmtId="0" fontId="18" fillId="0" borderId="51" xfId="4496" applyFont="1" applyBorder="1" applyAlignment="1">
      <alignment wrapText="1"/>
    </xf>
    <xf numFmtId="0" fontId="25" fillId="0" borderId="51" xfId="4495" applyFont="1" applyBorder="1" applyAlignment="1">
      <alignment horizontal="right"/>
    </xf>
    <xf numFmtId="0" fontId="18" fillId="0" borderId="52" xfId="4495" applyFont="1" applyBorder="1" applyAlignment="1">
      <alignment horizontal="center"/>
    </xf>
    <xf numFmtId="0" fontId="18" fillId="0" borderId="53" xfId="4495" applyFont="1" applyBorder="1" applyAlignment="1">
      <alignment horizontal="left" vertical="top"/>
    </xf>
    <xf numFmtId="0" fontId="18" fillId="0" borderId="54" xfId="4495" applyFont="1" applyBorder="1" applyAlignment="1">
      <alignment horizontal="left" vertical="top"/>
    </xf>
    <xf numFmtId="0" fontId="18" fillId="0" borderId="54" xfId="4495" applyFont="1" applyBorder="1" applyAlignment="1">
      <alignment horizontal="center"/>
    </xf>
    <xf numFmtId="0" fontId="18" fillId="0" borderId="59" xfId="4495" applyFont="1" applyBorder="1" applyAlignment="1">
      <alignment horizontal="center"/>
    </xf>
    <xf numFmtId="9" fontId="18" fillId="0" borderId="0" xfId="4496" applyNumberFormat="1" applyFont="1" applyAlignment="1">
      <alignment horizontal="center"/>
    </xf>
    <xf numFmtId="1" fontId="18" fillId="0" borderId="0" xfId="543" applyNumberFormat="1"/>
    <xf numFmtId="0" fontId="26" fillId="0" borderId="1" xfId="4495" applyFont="1" applyBorder="1"/>
    <xf numFmtId="0" fontId="25" fillId="0" borderId="0" xfId="4495" applyFont="1" applyAlignment="1">
      <alignment horizontal="center" wrapText="1"/>
    </xf>
    <xf numFmtId="0" fontId="25" fillId="0" borderId="9" xfId="4495" applyFont="1" applyBorder="1" applyAlignment="1">
      <alignment horizontal="left"/>
    </xf>
    <xf numFmtId="0" fontId="25" fillId="0" borderId="3" xfId="4495" applyFont="1" applyBorder="1" applyAlignment="1">
      <alignment horizontal="left"/>
    </xf>
    <xf numFmtId="0" fontId="25" fillId="0" borderId="4" xfId="4495" applyFont="1" applyBorder="1" applyAlignment="1">
      <alignment horizontal="left"/>
    </xf>
    <xf numFmtId="0" fontId="18" fillId="0" borderId="2" xfId="4495" applyFont="1" applyBorder="1" applyAlignment="1">
      <alignment horizontal="left"/>
    </xf>
    <xf numFmtId="0" fontId="25" fillId="0" borderId="2" xfId="4495" applyFont="1" applyBorder="1" applyAlignment="1">
      <alignment horizontal="left"/>
    </xf>
    <xf numFmtId="0" fontId="25" fillId="0" borderId="5" xfId="4495" applyFont="1" applyBorder="1" applyAlignment="1">
      <alignment horizontal="left"/>
    </xf>
    <xf numFmtId="180" fontId="65" fillId="0" borderId="0" xfId="4495" applyNumberFormat="1" applyFont="1" applyAlignment="1">
      <alignment horizontal="center" vertical="center"/>
    </xf>
    <xf numFmtId="0" fontId="18" fillId="0" borderId="12" xfId="4495" applyFont="1" applyBorder="1" applyAlignment="1">
      <alignment vertical="top"/>
    </xf>
    <xf numFmtId="0" fontId="48" fillId="0" borderId="0" xfId="4495" applyFont="1" applyAlignment="1">
      <alignment vertical="top" wrapText="1"/>
    </xf>
    <xf numFmtId="0" fontId="18" fillId="0" borderId="51" xfId="4495" applyFont="1" applyBorder="1" applyAlignment="1">
      <alignment horizontal="left" vertical="top" wrapText="1"/>
    </xf>
    <xf numFmtId="0" fontId="18" fillId="0" borderId="51" xfId="4495" applyFont="1" applyBorder="1" applyAlignment="1">
      <alignment horizontal="right"/>
    </xf>
    <xf numFmtId="0" fontId="18" fillId="0" borderId="52" xfId="4495" applyFont="1" applyBorder="1" applyAlignment="1">
      <alignment horizontal="right"/>
    </xf>
    <xf numFmtId="0" fontId="18" fillId="0" borderId="54" xfId="4495" applyFont="1" applyBorder="1" applyAlignment="1">
      <alignment horizontal="right"/>
    </xf>
    <xf numFmtId="0" fontId="18" fillId="0" borderId="58" xfId="4495" applyFont="1" applyBorder="1" applyAlignment="1">
      <alignment horizontal="left" vertical="top" wrapText="1"/>
    </xf>
    <xf numFmtId="0" fontId="18" fillId="0" borderId="58" xfId="4495" applyFont="1" applyBorder="1" applyAlignment="1">
      <alignment horizontal="right"/>
    </xf>
    <xf numFmtId="0" fontId="18" fillId="0" borderId="59" xfId="4495" applyFont="1" applyBorder="1" applyAlignment="1">
      <alignment horizontal="right"/>
    </xf>
    <xf numFmtId="0" fontId="48" fillId="0" borderId="0" xfId="4495" applyFont="1" applyAlignment="1">
      <alignment horizontal="left" vertical="top" wrapText="1"/>
    </xf>
    <xf numFmtId="0" fontId="18" fillId="0" borderId="0" xfId="1192" applyAlignment="1">
      <alignment horizontal="left" vertical="top"/>
    </xf>
    <xf numFmtId="0" fontId="36" fillId="0" borderId="0" xfId="1192" applyFont="1" applyAlignment="1">
      <alignment horizontal="left" vertical="top"/>
    </xf>
    <xf numFmtId="0" fontId="18" fillId="0" borderId="0" xfId="1192" applyAlignment="1">
      <alignment vertical="top"/>
    </xf>
    <xf numFmtId="168" fontId="18" fillId="0" borderId="0" xfId="1192" applyNumberFormat="1"/>
    <xf numFmtId="165" fontId="18" fillId="0" borderId="0" xfId="1192" applyNumberFormat="1"/>
    <xf numFmtId="165" fontId="18" fillId="0" borderId="0" xfId="1192" applyNumberFormat="1" applyAlignment="1">
      <alignment horizontal="right"/>
    </xf>
    <xf numFmtId="2" fontId="18" fillId="0" borderId="0" xfId="1192" applyNumberFormat="1"/>
    <xf numFmtId="6" fontId="18" fillId="0" borderId="0" xfId="1192" applyNumberFormat="1"/>
    <xf numFmtId="0" fontId="25" fillId="0" borderId="0" xfId="1192" applyFont="1"/>
    <xf numFmtId="0" fontId="48" fillId="0" borderId="0" xfId="1192" applyFont="1"/>
    <xf numFmtId="168" fontId="18" fillId="0" borderId="0" xfId="4495" applyNumberFormat="1" applyFont="1"/>
    <xf numFmtId="0" fontId="25" fillId="0" borderId="0" xfId="1192" applyFont="1" applyAlignment="1">
      <alignment vertical="center"/>
    </xf>
    <xf numFmtId="0" fontId="119" fillId="0" borderId="0" xfId="1192" applyFont="1" applyAlignment="1">
      <alignment horizontal="left"/>
    </xf>
    <xf numFmtId="0" fontId="116" fillId="0" borderId="0" xfId="1192" applyFont="1" applyAlignment="1">
      <alignment horizontal="left"/>
    </xf>
    <xf numFmtId="0" fontId="116" fillId="0" borderId="0" xfId="1192" applyFont="1" applyAlignment="1">
      <alignment horizontal="center"/>
    </xf>
    <xf numFmtId="168" fontId="18" fillId="0" borderId="0" xfId="1192" applyNumberFormat="1" applyAlignment="1">
      <alignment horizontal="center"/>
    </xf>
    <xf numFmtId="9" fontId="18" fillId="0" borderId="0" xfId="1192" applyNumberFormat="1"/>
    <xf numFmtId="0" fontId="18" fillId="0" borderId="0" xfId="1192" applyAlignment="1">
      <alignment horizontal="right"/>
    </xf>
    <xf numFmtId="0" fontId="18" fillId="0" borderId="53" xfId="4495" applyFont="1" applyBorder="1" applyAlignment="1">
      <alignment horizontal="left"/>
    </xf>
    <xf numFmtId="6" fontId="25" fillId="0" borderId="0" xfId="1192" applyNumberFormat="1" applyFont="1" applyAlignment="1">
      <alignment horizontal="right"/>
    </xf>
    <xf numFmtId="165" fontId="18" fillId="0" borderId="0" xfId="4495" applyNumberFormat="1" applyFont="1"/>
    <xf numFmtId="0" fontId="55" fillId="0" borderId="4" xfId="4495" applyFont="1" applyBorder="1"/>
    <xf numFmtId="0" fontId="38" fillId="0" borderId="0" xfId="543" applyFont="1" applyAlignment="1">
      <alignment vertical="center" wrapText="1"/>
    </xf>
    <xf numFmtId="1" fontId="25" fillId="0" borderId="13" xfId="271" applyNumberFormat="1" applyFont="1" applyBorder="1"/>
    <xf numFmtId="1" fontId="27" fillId="0" borderId="13" xfId="271" applyNumberFormat="1" applyBorder="1"/>
    <xf numFmtId="0" fontId="18" fillId="0" borderId="11" xfId="0" applyFont="1" applyBorder="1"/>
    <xf numFmtId="9" fontId="18" fillId="0" borderId="0" xfId="4495" applyNumberFormat="1" applyFont="1"/>
    <xf numFmtId="165" fontId="123" fillId="0" borderId="0" xfId="4496" applyNumberFormat="1" applyFont="1" applyAlignment="1">
      <alignment horizontal="center" vertical="top" wrapText="1"/>
    </xf>
    <xf numFmtId="168" fontId="123" fillId="0" borderId="0" xfId="4496" applyNumberFormat="1" applyFont="1" applyAlignment="1">
      <alignment vertical="top" wrapText="1"/>
    </xf>
    <xf numFmtId="165" fontId="123" fillId="0" borderId="64" xfId="4496" applyNumberFormat="1" applyFont="1" applyBorder="1" applyAlignment="1">
      <alignment horizontal="center" vertical="top" wrapText="1"/>
    </xf>
    <xf numFmtId="165" fontId="123" fillId="0" borderId="53" xfId="4496" applyNumberFormat="1" applyFont="1" applyBorder="1" applyAlignment="1">
      <alignment horizontal="left" vertical="top"/>
    </xf>
    <xf numFmtId="165" fontId="123" fillId="0" borderId="53" xfId="4496" applyNumberFormat="1" applyFont="1" applyBorder="1" applyAlignment="1">
      <alignment horizontal="center" vertical="top" wrapText="1"/>
    </xf>
    <xf numFmtId="168" fontId="123" fillId="0" borderId="0" xfId="4496" applyNumberFormat="1" applyFont="1" applyAlignment="1">
      <alignment vertical="top"/>
    </xf>
    <xf numFmtId="1" fontId="123" fillId="0" borderId="0" xfId="4496" applyNumberFormat="1" applyFont="1" applyAlignment="1">
      <alignment vertical="top" wrapText="1"/>
    </xf>
    <xf numFmtId="164" fontId="26" fillId="0" borderId="0" xfId="4495" applyNumberFormat="1" applyFont="1"/>
    <xf numFmtId="0" fontId="25" fillId="0" borderId="8" xfId="0" applyFont="1" applyBorder="1" applyAlignment="1">
      <alignment horizontal="center" vertical="center" wrapText="1"/>
    </xf>
    <xf numFmtId="0" fontId="25"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1" fillId="0" borderId="50" xfId="1192" applyFont="1" applyBorder="1" applyAlignment="1">
      <alignment horizontal="left"/>
    </xf>
    <xf numFmtId="0" fontId="142" fillId="0" borderId="51" xfId="4495" applyFont="1" applyBorder="1" applyAlignment="1">
      <alignment vertical="top"/>
    </xf>
    <xf numFmtId="0" fontId="141" fillId="0" borderId="51" xfId="4495" applyFont="1" applyBorder="1" applyAlignment="1">
      <alignment vertical="top" wrapText="1"/>
    </xf>
    <xf numFmtId="0" fontId="142" fillId="0" borderId="51" xfId="4495" applyFont="1" applyBorder="1"/>
    <xf numFmtId="0" fontId="142" fillId="0" borderId="53" xfId="1192" applyFont="1" applyBorder="1" applyAlignment="1">
      <alignment horizontal="left"/>
    </xf>
    <xf numFmtId="0" fontId="142" fillId="0" borderId="0" xfId="4495" applyFont="1" applyAlignment="1">
      <alignment vertical="top"/>
    </xf>
    <xf numFmtId="0" fontId="141" fillId="0" borderId="0" xfId="4495" applyFont="1" applyAlignment="1">
      <alignment vertical="top" wrapText="1"/>
    </xf>
    <xf numFmtId="0" fontId="142" fillId="0" borderId="0" xfId="4495" applyFont="1"/>
    <xf numFmtId="0" fontId="141" fillId="0" borderId="53" xfId="1192" applyFont="1" applyBorder="1" applyAlignment="1">
      <alignment horizontal="left"/>
    </xf>
    <xf numFmtId="0" fontId="141" fillId="0" borderId="57" xfId="1192" applyFont="1" applyBorder="1" applyAlignment="1">
      <alignment horizontal="left"/>
    </xf>
    <xf numFmtId="0" fontId="142" fillId="0" borderId="58" xfId="4495" applyFont="1" applyBorder="1" applyAlignment="1">
      <alignment vertical="top"/>
    </xf>
    <xf numFmtId="0" fontId="141" fillId="0" borderId="58" xfId="4495" applyFont="1" applyBorder="1" applyAlignment="1">
      <alignment vertical="top" wrapText="1"/>
    </xf>
    <xf numFmtId="0" fontId="142" fillId="0" borderId="58" xfId="4495" applyFont="1" applyBorder="1"/>
    <xf numFmtId="0" fontId="27" fillId="0" borderId="3" xfId="0" applyFont="1" applyBorder="1" applyAlignment="1">
      <alignment horizontal="center"/>
    </xf>
    <xf numFmtId="0" fontId="27" fillId="0" borderId="4" xfId="0" applyFont="1" applyBorder="1" applyAlignment="1">
      <alignment horizontal="center"/>
    </xf>
    <xf numFmtId="0" fontId="27" fillId="0" borderId="5" xfId="0" applyFont="1" applyBorder="1" applyAlignment="1">
      <alignment horizontal="center"/>
    </xf>
    <xf numFmtId="0" fontId="25" fillId="0" borderId="7" xfId="0" applyFont="1" applyBorder="1" applyAlignment="1">
      <alignment horizontal="right"/>
    </xf>
    <xf numFmtId="0" fontId="0" fillId="0" borderId="0" xfId="0" applyAlignment="1" applyProtection="1">
      <alignment horizontal="left" vertical="top" wrapText="1"/>
      <protection locked="0"/>
    </xf>
    <xf numFmtId="0" fontId="18" fillId="0" borderId="9" xfId="0" applyFont="1" applyBorder="1" applyAlignment="1">
      <alignment horizontal="left"/>
    </xf>
    <xf numFmtId="0" fontId="18" fillId="0" borderId="6" xfId="0" applyFont="1" applyBorder="1"/>
    <xf numFmtId="0" fontId="18" fillId="0" borderId="9" xfId="0" applyFont="1" applyBorder="1"/>
    <xf numFmtId="0" fontId="51" fillId="0" borderId="0" xfId="0" applyFont="1" applyAlignment="1">
      <alignment horizontal="center"/>
    </xf>
    <xf numFmtId="0" fontId="24" fillId="0" borderId="0" xfId="0" applyFont="1" applyAlignment="1">
      <alignment horizontal="center" vertical="center" wrapText="1"/>
    </xf>
    <xf numFmtId="0" fontId="33" fillId="0" borderId="0" xfId="0" applyFont="1" applyAlignment="1">
      <alignment horizontal="center"/>
    </xf>
    <xf numFmtId="0" fontId="26" fillId="0" borderId="0" xfId="0" applyFont="1" applyAlignment="1">
      <alignment horizontal="center"/>
    </xf>
    <xf numFmtId="0" fontId="25" fillId="0" borderId="3" xfId="0" applyFont="1" applyBorder="1"/>
    <xf numFmtId="0" fontId="25" fillId="0" borderId="4" xfId="271" applyFont="1" applyBorder="1"/>
    <xf numFmtId="0" fontId="25" fillId="0" borderId="3" xfId="271" applyFont="1" applyBorder="1"/>
    <xf numFmtId="0" fontId="25" fillId="0" borderId="5" xfId="271" applyFont="1" applyBorder="1"/>
    <xf numFmtId="0" fontId="18" fillId="0" borderId="58" xfId="4495" applyFont="1" applyBorder="1" applyAlignment="1">
      <alignment vertical="center" wrapText="1"/>
    </xf>
    <xf numFmtId="0" fontId="18" fillId="0" borderId="59" xfId="4495" applyFont="1" applyBorder="1" applyAlignment="1">
      <alignment vertical="center" wrapText="1"/>
    </xf>
    <xf numFmtId="0" fontId="18" fillId="0" borderId="0" xfId="4495" applyFont="1" applyAlignment="1">
      <alignment horizontal="left" vertical="center" wrapText="1"/>
    </xf>
    <xf numFmtId="0" fontId="25" fillId="0" borderId="5" xfId="0" applyFont="1" applyBorder="1"/>
    <xf numFmtId="168" fontId="23" fillId="43" borderId="0" xfId="0" applyNumberFormat="1" applyFont="1" applyFill="1"/>
    <xf numFmtId="9" fontId="26" fillId="0" borderId="0" xfId="543" applyNumberFormat="1" applyFont="1" applyAlignment="1">
      <alignment horizontal="center"/>
    </xf>
    <xf numFmtId="171" fontId="18" fillId="0" borderId="0" xfId="543" applyNumberFormat="1"/>
    <xf numFmtId="171" fontId="18" fillId="0" borderId="11" xfId="543" applyNumberFormat="1" applyBorder="1"/>
    <xf numFmtId="1" fontId="18" fillId="0" borderId="11" xfId="543" applyNumberFormat="1" applyBorder="1" applyAlignment="1">
      <alignment horizontal="center"/>
    </xf>
    <xf numFmtId="0" fontId="44" fillId="0" borderId="8" xfId="543" applyFont="1" applyBorder="1" applyAlignment="1">
      <alignment vertical="center" wrapText="1"/>
    </xf>
    <xf numFmtId="0" fontId="44" fillId="0" borderId="0" xfId="543" applyFont="1" applyAlignment="1">
      <alignment vertical="center" wrapText="1"/>
    </xf>
    <xf numFmtId="0" fontId="44" fillId="0" borderId="12" xfId="543" applyFont="1" applyBorder="1" applyAlignment="1">
      <alignment vertical="center" wrapText="1"/>
    </xf>
    <xf numFmtId="0" fontId="44" fillId="0" borderId="9" xfId="543" applyFont="1" applyBorder="1" applyAlignment="1">
      <alignment vertical="center" wrapText="1"/>
    </xf>
    <xf numFmtId="0" fontId="44" fillId="0" borderId="6" xfId="543" applyFont="1" applyBorder="1" applyAlignment="1">
      <alignment vertical="center" wrapText="1"/>
    </xf>
    <xf numFmtId="0" fontId="44" fillId="0" borderId="10" xfId="543" applyFont="1" applyBorder="1" applyAlignment="1">
      <alignment vertical="center" wrapText="1"/>
    </xf>
    <xf numFmtId="0" fontId="45" fillId="0" borderId="8" xfId="543" applyFont="1" applyBorder="1" applyAlignment="1">
      <alignment vertical="center" wrapText="1"/>
    </xf>
    <xf numFmtId="0" fontId="45" fillId="0" borderId="0" xfId="543" applyFont="1" applyAlignment="1">
      <alignment vertical="center" wrapText="1"/>
    </xf>
    <xf numFmtId="0" fontId="45" fillId="0" borderId="12" xfId="543" applyFont="1" applyBorder="1" applyAlignment="1">
      <alignment vertical="center" wrapText="1"/>
    </xf>
    <xf numFmtId="0" fontId="45" fillId="0" borderId="9" xfId="543" applyFont="1" applyBorder="1" applyAlignment="1">
      <alignment vertical="center" wrapText="1"/>
    </xf>
    <xf numFmtId="0" fontId="45" fillId="0" borderId="6" xfId="543" applyFont="1" applyBorder="1" applyAlignment="1">
      <alignment vertical="center" wrapText="1"/>
    </xf>
    <xf numFmtId="0" fontId="45" fillId="0" borderId="10" xfId="543" applyFont="1" applyBorder="1" applyAlignment="1">
      <alignment vertical="center" wrapText="1"/>
    </xf>
    <xf numFmtId="0" fontId="38" fillId="0" borderId="12" xfId="543" applyFont="1" applyBorder="1" applyAlignment="1">
      <alignment horizontal="center" vertical="top"/>
    </xf>
    <xf numFmtId="0" fontId="39" fillId="0" borderId="7" xfId="543" applyFont="1" applyBorder="1"/>
    <xf numFmtId="0" fontId="18" fillId="0" borderId="12" xfId="543" quotePrefix="1" applyBorder="1"/>
    <xf numFmtId="0" fontId="54" fillId="0" borderId="2" xfId="569" applyFont="1" applyBorder="1" applyAlignment="1">
      <alignment vertical="top"/>
    </xf>
    <xf numFmtId="0" fontId="28" fillId="0" borderId="0" xfId="4495" applyFont="1"/>
    <xf numFmtId="0" fontId="18" fillId="0" borderId="0" xfId="4495" applyFont="1" applyAlignment="1">
      <alignment vertical="top" wrapText="1" shrinkToFit="1"/>
    </xf>
    <xf numFmtId="0" fontId="146" fillId="0" borderId="0" xfId="4495" applyFont="1"/>
    <xf numFmtId="164" fontId="18" fillId="0" borderId="0" xfId="1192" applyNumberFormat="1" applyAlignment="1">
      <alignment horizontal="right"/>
    </xf>
    <xf numFmtId="164" fontId="18" fillId="0" borderId="0" xfId="4495" applyNumberFormat="1" applyFont="1" applyAlignment="1">
      <alignment horizontal="right"/>
    </xf>
    <xf numFmtId="0" fontId="18" fillId="0" borderId="0" xfId="4495" applyFont="1" applyAlignment="1">
      <alignment horizontal="left" vertical="top" wrapText="1" shrinkToFit="1"/>
    </xf>
    <xf numFmtId="0" fontId="18" fillId="0" borderId="6" xfId="4495" applyFont="1" applyBorder="1" applyAlignment="1">
      <alignment vertical="top" wrapText="1"/>
    </xf>
    <xf numFmtId="0" fontId="146" fillId="0" borderId="4" xfId="4495" applyFont="1" applyBorder="1"/>
    <xf numFmtId="0" fontId="18" fillId="0" borderId="4" xfId="4495" applyFont="1" applyBorder="1" applyAlignment="1">
      <alignment horizontal="left" vertical="top" wrapText="1" shrinkToFit="1"/>
    </xf>
    <xf numFmtId="0" fontId="28" fillId="0" borderId="0" xfId="4495" applyFont="1" applyAlignment="1">
      <alignment horizontal="left" vertical="top"/>
    </xf>
    <xf numFmtId="0" fontId="18" fillId="0" borderId="0" xfId="4495" applyFont="1" applyAlignment="1">
      <alignment vertical="center" wrapText="1" shrinkToFit="1"/>
    </xf>
    <xf numFmtId="0" fontId="18" fillId="0" borderId="0" xfId="4495" applyFont="1" applyAlignment="1">
      <alignment horizontal="left" vertical="top" shrinkToFit="1"/>
    </xf>
    <xf numFmtId="0" fontId="18" fillId="0" borderId="0" xfId="4495" applyFont="1" applyAlignment="1">
      <alignment horizontal="left" vertical="center" shrinkToFit="1"/>
    </xf>
    <xf numFmtId="0" fontId="28" fillId="0" borderId="4" xfId="4495" applyFont="1" applyBorder="1"/>
    <xf numFmtId="0" fontId="18" fillId="0" borderId="4" xfId="4495" applyFont="1" applyBorder="1" applyAlignment="1">
      <alignment horizontal="left" vertical="top" shrinkToFit="1"/>
    </xf>
    <xf numFmtId="0" fontId="18" fillId="0" borderId="0" xfId="4495" applyFont="1" applyAlignment="1">
      <alignment vertical="center"/>
    </xf>
    <xf numFmtId="0" fontId="24" fillId="0" borderId="0" xfId="4495" applyFont="1"/>
    <xf numFmtId="0" fontId="28" fillId="0" borderId="0" xfId="4495" applyFont="1" applyAlignment="1">
      <alignment horizontal="center"/>
    </xf>
    <xf numFmtId="0" fontId="18" fillId="0" borderId="4" xfId="4495" applyFont="1" applyBorder="1" applyAlignment="1">
      <alignment horizontal="left" vertical="top" wrapText="1"/>
    </xf>
    <xf numFmtId="44" fontId="18" fillId="0" borderId="0" xfId="707" applyFont="1" applyFill="1" applyBorder="1" applyAlignment="1" applyProtection="1">
      <alignment horizontal="left" vertical="top" wrapText="1"/>
    </xf>
    <xf numFmtId="44" fontId="18" fillId="0" borderId="4" xfId="707" applyFont="1" applyFill="1" applyBorder="1" applyAlignment="1" applyProtection="1">
      <alignment horizontal="left" vertical="top" wrapText="1"/>
    </xf>
    <xf numFmtId="164" fontId="36" fillId="0" borderId="0" xfId="4495" applyNumberFormat="1" applyFont="1" applyAlignment="1">
      <alignment horizontal="left"/>
    </xf>
    <xf numFmtId="0" fontId="28" fillId="0" borderId="0" xfId="4495" applyFont="1" applyAlignment="1">
      <alignment horizontal="left"/>
    </xf>
    <xf numFmtId="0" fontId="18" fillId="0" borderId="4" xfId="4495" applyFont="1" applyBorder="1" applyAlignment="1">
      <alignment vertical="top" wrapText="1"/>
    </xf>
    <xf numFmtId="0" fontId="28" fillId="0" borderId="4" xfId="4495" applyFont="1" applyBorder="1" applyAlignment="1">
      <alignment horizontal="left" vertical="top"/>
    </xf>
    <xf numFmtId="0" fontId="18" fillId="0" borderId="0" xfId="4495" applyFont="1" applyAlignment="1">
      <alignment horizontal="left" vertical="center" wrapText="1" shrinkToFit="1"/>
    </xf>
    <xf numFmtId="0" fontId="18" fillId="0" borderId="6" xfId="4495" applyFont="1" applyBorder="1" applyAlignment="1">
      <alignment horizontal="left" vertical="top" wrapText="1"/>
    </xf>
    <xf numFmtId="2" fontId="119" fillId="0" borderId="0" xfId="0" applyNumberFormat="1" applyFont="1" applyAlignment="1">
      <alignment horizontal="center"/>
    </xf>
    <xf numFmtId="9" fontId="18" fillId="0" borderId="0" xfId="4494" applyFont="1" applyAlignment="1">
      <alignment horizontal="center"/>
    </xf>
    <xf numFmtId="3" fontId="18" fillId="0" borderId="0" xfId="0" applyNumberFormat="1" applyFont="1"/>
    <xf numFmtId="10" fontId="18" fillId="0" borderId="0" xfId="0" applyNumberFormat="1" applyFont="1" applyAlignment="1">
      <alignment horizontal="center"/>
    </xf>
    <xf numFmtId="168" fontId="18" fillId="0" borderId="0" xfId="0" applyNumberFormat="1" applyFont="1"/>
    <xf numFmtId="172" fontId="18" fillId="0" borderId="11" xfId="0" applyNumberFormat="1" applyFont="1" applyBorder="1" applyAlignment="1">
      <alignment horizontal="center"/>
    </xf>
    <xf numFmtId="168" fontId="18" fillId="5" borderId="0" xfId="0" applyNumberFormat="1" applyFont="1" applyFill="1"/>
    <xf numFmtId="3" fontId="18" fillId="5" borderId="0" xfId="0" applyNumberFormat="1" applyFont="1" applyFill="1"/>
    <xf numFmtId="0" fontId="18" fillId="5" borderId="0" xfId="0" applyFont="1" applyFill="1"/>
    <xf numFmtId="3" fontId="18" fillId="5" borderId="6" xfId="0" applyNumberFormat="1" applyFont="1" applyFill="1" applyBorder="1"/>
    <xf numFmtId="3" fontId="18" fillId="0" borderId="6" xfId="0" applyNumberFormat="1" applyFont="1" applyBorder="1"/>
    <xf numFmtId="168" fontId="18" fillId="0" borderId="0" xfId="0" applyNumberFormat="1" applyFont="1" applyAlignment="1">
      <alignment horizontal="center"/>
    </xf>
    <xf numFmtId="3" fontId="18" fillId="0" borderId="0" xfId="0" applyNumberFormat="1" applyFont="1" applyAlignment="1">
      <alignment horizontal="center"/>
    </xf>
    <xf numFmtId="0" fontId="18" fillId="0" borderId="50" xfId="4495" applyFont="1" applyBorder="1" applyAlignment="1">
      <alignment vertical="center"/>
    </xf>
    <xf numFmtId="0" fontId="18" fillId="0" borderId="51" xfId="4495" applyFont="1" applyBorder="1" applyAlignment="1">
      <alignment vertical="center"/>
    </xf>
    <xf numFmtId="0" fontId="18" fillId="0" borderId="52" xfId="4495" applyFont="1" applyBorder="1" applyAlignment="1">
      <alignment vertical="center"/>
    </xf>
    <xf numFmtId="0" fontId="18" fillId="0" borderId="54" xfId="4495" applyFont="1" applyBorder="1" applyAlignment="1">
      <alignment vertical="center" wrapText="1"/>
    </xf>
    <xf numFmtId="0" fontId="18" fillId="0" borderId="53" xfId="4495" applyFont="1" applyBorder="1" applyAlignment="1">
      <alignment vertical="top" wrapText="1"/>
    </xf>
    <xf numFmtId="9" fontId="18" fillId="0" borderId="0" xfId="543" applyNumberFormat="1" applyAlignment="1">
      <alignment horizontal="center"/>
    </xf>
    <xf numFmtId="0" fontId="50" fillId="0" borderId="0" xfId="4496" applyFont="1"/>
    <xf numFmtId="168" fontId="54" fillId="5" borderId="11" xfId="0" applyNumberFormat="1" applyFont="1" applyFill="1" applyBorder="1" applyAlignment="1" applyProtection="1">
      <alignment vertical="top" wrapText="1"/>
      <protection locked="0"/>
    </xf>
    <xf numFmtId="0" fontId="18" fillId="0" borderId="0" xfId="0" applyFont="1" applyAlignment="1">
      <alignment horizontal="left" wrapText="1"/>
    </xf>
    <xf numFmtId="4" fontId="36" fillId="0" borderId="0" xfId="0" applyNumberFormat="1" applyFont="1" applyAlignment="1">
      <alignment horizontal="left"/>
    </xf>
    <xf numFmtId="4" fontId="18" fillId="0" borderId="0" xfId="0" applyNumberFormat="1" applyFont="1" applyAlignment="1">
      <alignment horizontal="left" vertical="top" wrapText="1"/>
    </xf>
    <xf numFmtId="0" fontId="25" fillId="0" borderId="4" xfId="0" applyFont="1" applyBorder="1" applyAlignment="1">
      <alignment horizontal="left"/>
    </xf>
    <xf numFmtId="4" fontId="18" fillId="0" borderId="0" xfId="0" applyNumberFormat="1" applyFont="1" applyAlignment="1">
      <alignment horizontal="left"/>
    </xf>
    <xf numFmtId="43" fontId="52" fillId="0" borderId="0" xfId="4503" applyFont="1" applyAlignment="1" applyProtection="1">
      <alignment horizontal="center"/>
    </xf>
    <xf numFmtId="43" fontId="18" fillId="0" borderId="0" xfId="4503" applyFont="1" applyAlignment="1" applyProtection="1">
      <alignment horizontal="center"/>
    </xf>
    <xf numFmtId="43" fontId="18" fillId="0" borderId="0" xfId="4503" applyFont="1" applyProtection="1"/>
    <xf numFmtId="49" fontId="18" fillId="0" borderId="0" xfId="0" applyNumberFormat="1" applyFont="1"/>
    <xf numFmtId="49" fontId="18" fillId="0" borderId="0" xfId="0" applyNumberFormat="1" applyFont="1" applyAlignment="1">
      <alignment horizontal="center"/>
    </xf>
    <xf numFmtId="4" fontId="18" fillId="0" borderId="0" xfId="0" applyNumberFormat="1" applyFont="1" applyAlignment="1">
      <alignment vertical="top" wrapText="1"/>
    </xf>
    <xf numFmtId="0" fontId="18" fillId="0" borderId="0" xfId="0" quotePrefix="1" applyFont="1"/>
    <xf numFmtId="0" fontId="48" fillId="0" borderId="0" xfId="0" applyFont="1" applyAlignment="1">
      <alignment horizontal="left"/>
    </xf>
    <xf numFmtId="0" fontId="18" fillId="0" borderId="4" xfId="0" applyFont="1" applyBorder="1" applyAlignment="1">
      <alignment horizontal="left"/>
    </xf>
    <xf numFmtId="0" fontId="18" fillId="0" borderId="0" xfId="0" quotePrefix="1" applyFont="1" applyAlignment="1">
      <alignment horizontal="left"/>
    </xf>
    <xf numFmtId="0" fontId="18" fillId="0" borderId="0" xfId="0" quotePrefix="1" applyFont="1" applyAlignment="1">
      <alignment horizontal="left" vertical="top"/>
    </xf>
    <xf numFmtId="0" fontId="48" fillId="0" borderId="0" xfId="1192" applyFont="1" applyAlignment="1">
      <alignment horizontal="left"/>
    </xf>
    <xf numFmtId="0" fontId="52" fillId="0" borderId="0" xfId="0" applyFont="1" applyAlignment="1">
      <alignment horizontal="center" vertical="center"/>
    </xf>
    <xf numFmtId="49" fontId="25" fillId="0" borderId="0" xfId="0" applyNumberFormat="1" applyFont="1" applyAlignment="1">
      <alignment horizontal="center" vertical="center"/>
    </xf>
    <xf numFmtId="49" fontId="18" fillId="0" borderId="0" xfId="0" applyNumberFormat="1" applyFont="1" applyAlignment="1">
      <alignment vertical="center"/>
    </xf>
    <xf numFmtId="4" fontId="18" fillId="0" borderId="0" xfId="0" applyNumberFormat="1" applyFont="1" applyAlignment="1">
      <alignment horizontal="center"/>
    </xf>
    <xf numFmtId="4" fontId="18" fillId="0" borderId="0" xfId="0" applyNumberFormat="1" applyFont="1"/>
    <xf numFmtId="10" fontId="18" fillId="0" borderId="0" xfId="4495" applyNumberFormat="1" applyFont="1"/>
    <xf numFmtId="10" fontId="123" fillId="0" borderId="0" xfId="4496" applyNumberFormat="1" applyFont="1" applyAlignment="1">
      <alignment horizontal="center" vertical="top" wrapText="1"/>
    </xf>
    <xf numFmtId="10" fontId="123" fillId="0" borderId="64" xfId="4496" applyNumberFormat="1" applyFont="1" applyBorder="1" applyAlignment="1">
      <alignment horizontal="center" vertical="top" wrapText="1"/>
    </xf>
    <xf numFmtId="10" fontId="123"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8" fillId="0" borderId="0" xfId="1192" quotePrefix="1" applyNumberFormat="1" applyAlignment="1">
      <alignment horizontal="center"/>
    </xf>
    <xf numFmtId="0" fontId="123" fillId="0" borderId="0" xfId="4495" applyFont="1"/>
    <xf numFmtId="10" fontId="123" fillId="0" borderId="0" xfId="4495" applyNumberFormat="1" applyFont="1"/>
    <xf numFmtId="172" fontId="18" fillId="0" borderId="0" xfId="4495" applyNumberFormat="1" applyFont="1"/>
    <xf numFmtId="0" fontId="41" fillId="0" borderId="0" xfId="0" applyFont="1" applyAlignment="1">
      <alignment horizontal="center"/>
    </xf>
    <xf numFmtId="0" fontId="37" fillId="0" borderId="0" xfId="0" applyFont="1" applyAlignment="1">
      <alignment horizontal="left"/>
    </xf>
    <xf numFmtId="0" fontId="0" fillId="0" borderId="10" xfId="0" applyBorder="1" applyAlignment="1">
      <alignment horizontal="left"/>
    </xf>
    <xf numFmtId="1" fontId="18" fillId="0" borderId="0" xfId="1192" applyNumberFormat="1" applyAlignment="1">
      <alignment horizontal="center"/>
    </xf>
    <xf numFmtId="0" fontId="121" fillId="0" borderId="63" xfId="4495" applyBorder="1"/>
    <xf numFmtId="0" fontId="54" fillId="0" borderId="0" xfId="271" applyFont="1" applyAlignment="1">
      <alignment vertical="top"/>
    </xf>
    <xf numFmtId="0" fontId="25" fillId="0" borderId="11" xfId="0" applyFont="1" applyBorder="1" applyAlignment="1">
      <alignment horizontal="right" vertical="top" wrapText="1"/>
    </xf>
    <xf numFmtId="0" fontId="27" fillId="0" borderId="11" xfId="271" applyBorder="1" applyAlignment="1" applyProtection="1">
      <alignment horizontal="right" vertical="top" wrapText="1"/>
      <protection locked="0"/>
    </xf>
    <xf numFmtId="0" fontId="18" fillId="0" borderId="54" xfId="4495" applyFont="1" applyBorder="1" applyAlignment="1">
      <alignment vertical="top"/>
    </xf>
    <xf numFmtId="9" fontId="27" fillId="0" borderId="0" xfId="0" applyNumberFormat="1" applyFont="1"/>
    <xf numFmtId="0" fontId="18" fillId="0" borderId="16" xfId="569" applyBorder="1" applyAlignment="1">
      <alignment horizontal="center"/>
    </xf>
    <xf numFmtId="164" fontId="18" fillId="0" borderId="57" xfId="4495" applyNumberFormat="1" applyFont="1" applyBorder="1" applyAlignment="1">
      <alignment vertical="top" wrapText="1"/>
    </xf>
    <xf numFmtId="164" fontId="18" fillId="0" borderId="58" xfId="4495" applyNumberFormat="1" applyFont="1" applyBorder="1" applyAlignment="1">
      <alignment vertical="top" wrapText="1"/>
    </xf>
    <xf numFmtId="164" fontId="18" fillId="0" borderId="59" xfId="4495" applyNumberFormat="1" applyFont="1" applyBorder="1" applyAlignment="1">
      <alignment vertical="top" wrapText="1"/>
    </xf>
    <xf numFmtId="0" fontId="25" fillId="0" borderId="0" xfId="1192" applyFont="1" applyAlignment="1">
      <alignment horizontal="left" vertical="top" wrapText="1"/>
    </xf>
    <xf numFmtId="0" fontId="18" fillId="0" borderId="16" xfId="569" applyBorder="1"/>
    <xf numFmtId="0" fontId="18" fillId="0" borderId="4" xfId="569" applyBorder="1"/>
    <xf numFmtId="0" fontId="25" fillId="0" borderId="4" xfId="569" applyFont="1" applyBorder="1"/>
    <xf numFmtId="49" fontId="18" fillId="0" borderId="4" xfId="569" applyNumberFormat="1" applyBorder="1"/>
    <xf numFmtId="0" fontId="149" fillId="0" borderId="0" xfId="0" applyFont="1"/>
    <xf numFmtId="0" fontId="18" fillId="0" borderId="0" xfId="0" applyFont="1" applyAlignment="1">
      <alignment horizontal="right"/>
    </xf>
    <xf numFmtId="1" fontId="18" fillId="0" borderId="0" xfId="0" applyNumberFormat="1" applyFont="1" applyAlignment="1">
      <alignment horizontal="center"/>
    </xf>
    <xf numFmtId="0" fontId="25" fillId="0" borderId="0" xfId="0" applyFont="1" applyAlignment="1">
      <alignment horizontal="left" vertical="center"/>
    </xf>
    <xf numFmtId="0" fontId="18" fillId="0" borderId="0" xfId="0" applyFont="1" applyAlignment="1">
      <alignment horizontal="left" vertical="center"/>
    </xf>
    <xf numFmtId="0" fontId="25" fillId="0" borderId="0" xfId="569" applyFont="1" applyAlignment="1">
      <alignment vertical="top"/>
    </xf>
    <xf numFmtId="0" fontId="19" fillId="0" borderId="0" xfId="244" applyAlignment="1"/>
    <xf numFmtId="0" fontId="25" fillId="0" borderId="0" xfId="0" applyFont="1" applyAlignment="1">
      <alignment vertical="top" wrapText="1"/>
    </xf>
    <xf numFmtId="49" fontId="25" fillId="0" borderId="0" xfId="0" applyNumberFormat="1" applyFont="1"/>
    <xf numFmtId="49" fontId="25" fillId="0" borderId="0" xfId="0" applyNumberFormat="1" applyFont="1" applyAlignment="1">
      <alignment vertical="top"/>
    </xf>
    <xf numFmtId="0" fontId="41" fillId="0" borderId="11" xfId="0" applyFont="1" applyBorder="1"/>
    <xf numFmtId="175" fontId="18" fillId="0" borderId="0" xfId="543" applyNumberFormat="1" applyAlignment="1">
      <alignment vertical="center"/>
    </xf>
    <xf numFmtId="0" fontId="99" fillId="43" borderId="6" xfId="4496" applyFont="1" applyFill="1" applyBorder="1" applyAlignment="1" applyProtection="1">
      <alignment horizontal="center"/>
      <protection locked="0"/>
    </xf>
    <xf numFmtId="0" fontId="99" fillId="0" borderId="0" xfId="4496" applyFont="1"/>
    <xf numFmtId="0" fontId="99" fillId="0" borderId="0" xfId="4496" applyFont="1" applyAlignment="1">
      <alignment wrapText="1"/>
    </xf>
    <xf numFmtId="0" fontId="137" fillId="0" borderId="0" xfId="4496" applyFont="1"/>
    <xf numFmtId="181" fontId="138" fillId="0" borderId="0" xfId="4498" applyNumberFormat="1" applyFont="1" applyBorder="1" applyProtection="1"/>
    <xf numFmtId="0" fontId="139" fillId="0" borderId="0" xfId="4496" applyFont="1" applyAlignment="1">
      <alignment vertical="center" wrapText="1"/>
    </xf>
    <xf numFmtId="49" fontId="99" fillId="0" borderId="0" xfId="4496" applyNumberFormat="1" applyFont="1" applyAlignment="1">
      <alignment horizontal="center"/>
    </xf>
    <xf numFmtId="182" fontId="99" fillId="0" borderId="6" xfId="4496" applyNumberFormat="1" applyFont="1" applyBorder="1"/>
    <xf numFmtId="0" fontId="99" fillId="0" borderId="0" xfId="4496" applyFont="1" applyAlignment="1">
      <alignment vertical="center"/>
    </xf>
    <xf numFmtId="182" fontId="99" fillId="0" borderId="0" xfId="4496" applyNumberFormat="1" applyFont="1" applyAlignment="1">
      <alignment vertical="center"/>
    </xf>
    <xf numFmtId="175" fontId="99" fillId="0" borderId="0" xfId="4499" applyNumberFormat="1" applyFont="1" applyFill="1" applyBorder="1" applyAlignment="1" applyProtection="1">
      <alignment horizontal="left" vertical="center"/>
    </xf>
    <xf numFmtId="9" fontId="99" fillId="0" borderId="0" xfId="4499" applyFont="1" applyFill="1" applyBorder="1" applyAlignment="1" applyProtection="1">
      <alignment vertical="center"/>
    </xf>
    <xf numFmtId="183" fontId="99" fillId="0" borderId="0" xfId="4496" applyNumberFormat="1" applyFont="1" applyAlignment="1">
      <alignment vertical="center" wrapText="1"/>
    </xf>
    <xf numFmtId="9" fontId="99" fillId="0" borderId="0" xfId="4499" applyFont="1" applyBorder="1" applyAlignment="1" applyProtection="1">
      <alignment vertical="center"/>
    </xf>
    <xf numFmtId="164" fontId="99" fillId="0" borderId="0" xfId="4496" applyNumberFormat="1" applyFont="1" applyAlignment="1">
      <alignment vertical="center" wrapText="1"/>
    </xf>
    <xf numFmtId="0" fontId="99" fillId="0" borderId="0" xfId="4496" applyFont="1" applyAlignment="1">
      <alignment horizontal="center" vertical="center"/>
    </xf>
    <xf numFmtId="182" fontId="99" fillId="0" borderId="11" xfId="8721" applyNumberFormat="1" applyFont="1" applyBorder="1" applyProtection="1"/>
    <xf numFmtId="182" fontId="99" fillId="0" borderId="11" xfId="4496" applyNumberFormat="1" applyFont="1" applyBorder="1"/>
    <xf numFmtId="164" fontId="99" fillId="0" borderId="0" xfId="4496" applyNumberFormat="1" applyFont="1" applyAlignment="1">
      <alignment wrapText="1"/>
    </xf>
    <xf numFmtId="49" fontId="99" fillId="0" borderId="0" xfId="4496" applyNumberFormat="1" applyFont="1" applyAlignment="1">
      <alignment horizontal="left"/>
    </xf>
    <xf numFmtId="0" fontId="140" fillId="0" borderId="0" xfId="4496" applyFont="1"/>
    <xf numFmtId="9" fontId="99" fillId="0" borderId="11" xfId="4494" applyFont="1" applyFill="1" applyBorder="1" applyAlignment="1" applyProtection="1">
      <alignment horizontal="right"/>
    </xf>
    <xf numFmtId="1" fontId="99" fillId="0" borderId="0" xfId="4496" applyNumberFormat="1" applyFont="1"/>
    <xf numFmtId="0" fontId="137" fillId="45" borderId="3" xfId="4496" applyFont="1" applyFill="1" applyBorder="1" applyAlignment="1">
      <alignment horizontal="left" indent="1"/>
    </xf>
    <xf numFmtId="0" fontId="99" fillId="45" borderId="4" xfId="4496" applyFont="1" applyFill="1" applyBorder="1"/>
    <xf numFmtId="2" fontId="99" fillId="45" borderId="5" xfId="4496" applyNumberFormat="1" applyFont="1" applyFill="1" applyBorder="1"/>
    <xf numFmtId="181" fontId="99" fillId="0" borderId="0" xfId="4496" applyNumberFormat="1" applyFont="1"/>
    <xf numFmtId="165" fontId="138" fillId="0" borderId="0" xfId="4499" applyNumberFormat="1" applyFont="1" applyFill="1" applyBorder="1" applyProtection="1"/>
    <xf numFmtId="9" fontId="99" fillId="0" borderId="0" xfId="4494" applyFont="1" applyFill="1" applyProtection="1"/>
    <xf numFmtId="0" fontId="99" fillId="0" borderId="11" xfId="4496" applyFont="1" applyBorder="1" applyAlignment="1">
      <alignment horizontal="center"/>
    </xf>
    <xf numFmtId="2" fontId="99" fillId="0" borderId="11" xfId="4496" applyNumberFormat="1" applyFont="1" applyBorder="1" applyAlignment="1">
      <alignment horizontal="center"/>
    </xf>
    <xf numFmtId="0" fontId="99" fillId="0" borderId="0" xfId="4496" applyFont="1" applyAlignment="1">
      <alignment vertical="top" wrapText="1"/>
    </xf>
    <xf numFmtId="0" fontId="99" fillId="0" borderId="11" xfId="4496" applyFont="1" applyBorder="1" applyAlignment="1">
      <alignment horizontal="center" vertical="top" wrapText="1"/>
    </xf>
    <xf numFmtId="182" fontId="99" fillId="0" borderId="0" xfId="8721" applyNumberFormat="1" applyFont="1" applyBorder="1" applyProtection="1"/>
    <xf numFmtId="0" fontId="99" fillId="0" borderId="0" xfId="4496" applyFont="1" applyAlignment="1">
      <alignment horizontal="left" indent="1"/>
    </xf>
    <xf numFmtId="182" fontId="99" fillId="0" borderId="0" xfId="4496" applyNumberFormat="1" applyFont="1"/>
    <xf numFmtId="184" fontId="99" fillId="0" borderId="0" xfId="4496" applyNumberFormat="1" applyFont="1"/>
    <xf numFmtId="0" fontId="99" fillId="0" borderId="0" xfId="4496" applyFont="1" applyAlignment="1">
      <alignment horizontal="left"/>
    </xf>
    <xf numFmtId="0" fontId="99" fillId="0" borderId="0" xfId="4496" applyFont="1" applyAlignment="1">
      <alignment horizontal="center"/>
    </xf>
    <xf numFmtId="3" fontId="23" fillId="0" borderId="11" xfId="271" applyNumberFormat="1" applyFont="1" applyBorder="1" applyAlignment="1">
      <alignment horizontal="center"/>
    </xf>
    <xf numFmtId="3" fontId="23" fillId="43" borderId="11" xfId="271" applyNumberFormat="1" applyFont="1" applyFill="1" applyBorder="1" applyProtection="1">
      <protection locked="0"/>
    </xf>
    <xf numFmtId="0" fontId="99" fillId="0" borderId="0" xfId="4496" applyFont="1" applyAlignment="1">
      <alignment horizontal="right"/>
    </xf>
    <xf numFmtId="168" fontId="27" fillId="0" borderId="0" xfId="0" applyNumberFormat="1" applyFont="1"/>
    <xf numFmtId="0" fontId="99" fillId="0" borderId="15" xfId="4496" applyFont="1" applyBorder="1" applyAlignment="1">
      <alignment horizontal="center" vertical="top" wrapText="1"/>
    </xf>
    <xf numFmtId="2" fontId="99" fillId="0" borderId="15" xfId="4496" applyNumberFormat="1" applyFont="1" applyBorder="1" applyAlignment="1">
      <alignment horizontal="center"/>
    </xf>
    <xf numFmtId="0" fontId="99" fillId="0" borderId="15" xfId="4496" applyFont="1" applyBorder="1" applyAlignment="1">
      <alignment horizontal="center"/>
    </xf>
    <xf numFmtId="0" fontId="137" fillId="0" borderId="68" xfId="4496" applyFont="1" applyBorder="1" applyAlignment="1">
      <alignment horizontal="center" vertical="top" wrapText="1"/>
    </xf>
    <xf numFmtId="0" fontId="137" fillId="0" borderId="68" xfId="4496" applyFont="1" applyBorder="1" applyAlignment="1">
      <alignment horizontal="center"/>
    </xf>
    <xf numFmtId="0" fontId="151" fillId="0" borderId="0" xfId="4496" applyFont="1" applyAlignment="1">
      <alignment horizontal="right" vertical="center"/>
    </xf>
    <xf numFmtId="175" fontId="99" fillId="0" borderId="0" xfId="4499" applyNumberFormat="1" applyFont="1" applyFill="1" applyBorder="1" applyAlignment="1" applyProtection="1">
      <alignment horizontal="right" vertical="center"/>
    </xf>
    <xf numFmtId="0" fontId="99" fillId="0" borderId="66" xfId="4496" applyFont="1" applyBorder="1" applyAlignment="1">
      <alignment vertical="center"/>
    </xf>
    <xf numFmtId="0" fontId="99" fillId="0" borderId="41" xfId="4496" applyFont="1" applyBorder="1" applyAlignment="1">
      <alignment vertical="center"/>
    </xf>
    <xf numFmtId="182" fontId="99" fillId="0" borderId="73" xfId="4496" applyNumberFormat="1" applyFont="1" applyBorder="1" applyAlignment="1">
      <alignment vertical="center"/>
    </xf>
    <xf numFmtId="175" fontId="99" fillId="0" borderId="42" xfId="4499" applyNumberFormat="1" applyFont="1" applyFill="1" applyBorder="1" applyAlignment="1" applyProtection="1">
      <alignment horizontal="left" vertical="center"/>
    </xf>
    <xf numFmtId="0" fontId="99" fillId="0" borderId="42" xfId="4496" applyFont="1" applyBorder="1" applyAlignment="1">
      <alignment vertical="center"/>
    </xf>
    <xf numFmtId="0" fontId="99" fillId="0" borderId="44" xfId="4496" applyFont="1" applyBorder="1" applyAlignment="1">
      <alignment vertical="center"/>
    </xf>
    <xf numFmtId="49" fontId="99" fillId="0" borderId="0" xfId="4496" applyNumberFormat="1" applyFont="1" applyAlignment="1">
      <alignment horizontal="center" vertical="center"/>
    </xf>
    <xf numFmtId="0" fontId="99" fillId="0" borderId="65" xfId="4496" applyFont="1" applyBorder="1" applyAlignment="1">
      <alignment vertical="center"/>
    </xf>
    <xf numFmtId="0" fontId="99" fillId="0" borderId="29" xfId="4496" applyFont="1" applyBorder="1" applyAlignment="1">
      <alignment vertical="center"/>
    </xf>
    <xf numFmtId="0" fontId="99" fillId="0" borderId="29" xfId="4496" applyFont="1" applyBorder="1" applyAlignment="1">
      <alignment horizontal="right" vertical="center"/>
    </xf>
    <xf numFmtId="5" fontId="99" fillId="0" borderId="29" xfId="4496" applyNumberFormat="1" applyFont="1" applyBorder="1" applyAlignment="1">
      <alignment vertical="center"/>
    </xf>
    <xf numFmtId="0" fontId="99" fillId="0" borderId="31" xfId="4496" applyFont="1" applyBorder="1" applyAlignment="1">
      <alignment vertical="center"/>
    </xf>
    <xf numFmtId="175" fontId="137" fillId="0" borderId="42" xfId="4494" applyNumberFormat="1" applyFont="1" applyFill="1" applyBorder="1" applyAlignment="1" applyProtection="1">
      <alignment horizontal="center" vertical="center"/>
    </xf>
    <xf numFmtId="0" fontId="137" fillId="0" borderId="29" xfId="4496" applyFont="1" applyBorder="1" applyAlignment="1">
      <alignment vertical="center"/>
    </xf>
    <xf numFmtId="0" fontId="137" fillId="0" borderId="0" xfId="4496" applyFont="1" applyAlignment="1">
      <alignment vertical="center"/>
    </xf>
    <xf numFmtId="0" fontId="137" fillId="0" borderId="42" xfId="4496" applyFont="1" applyBorder="1" applyAlignment="1">
      <alignment vertical="center"/>
    </xf>
    <xf numFmtId="9" fontId="137" fillId="0" borderId="42" xfId="4499" applyFont="1" applyFill="1" applyBorder="1" applyAlignment="1" applyProtection="1">
      <alignment vertical="center"/>
    </xf>
    <xf numFmtId="182" fontId="137" fillId="0" borderId="68" xfId="8721" applyNumberFormat="1" applyFont="1" applyBorder="1" applyProtection="1"/>
    <xf numFmtId="182" fontId="137" fillId="0" borderId="68" xfId="4496" applyNumberFormat="1" applyFont="1" applyBorder="1"/>
    <xf numFmtId="0" fontId="151" fillId="0" borderId="0" xfId="4496" applyFont="1" applyAlignment="1">
      <alignment horizontal="right"/>
    </xf>
    <xf numFmtId="0" fontId="99" fillId="0" borderId="0" xfId="4496" applyFont="1" applyAlignment="1">
      <alignment horizontal="right" vertical="top" wrapText="1" indent="1"/>
    </xf>
    <xf numFmtId="182" fontId="99" fillId="0" borderId="6" xfId="8721" applyNumberFormat="1" applyFont="1" applyBorder="1" applyAlignment="1" applyProtection="1">
      <alignment horizontal="center"/>
    </xf>
    <xf numFmtId="0" fontId="99" fillId="0" borderId="0" xfId="4496" applyFont="1" applyAlignment="1">
      <alignment horizontal="right" indent="1"/>
    </xf>
    <xf numFmtId="0" fontId="99" fillId="0" borderId="0" xfId="4496" applyFont="1" applyAlignment="1">
      <alignment horizontal="right" vertical="top"/>
    </xf>
    <xf numFmtId="0" fontId="137" fillId="0" borderId="0" xfId="4496" applyFont="1" applyAlignment="1">
      <alignment horizontal="right"/>
    </xf>
    <xf numFmtId="182" fontId="137" fillId="0" borderId="0" xfId="8721" applyNumberFormat="1" applyFont="1" applyBorder="1" applyAlignment="1" applyProtection="1">
      <alignment horizontal="center"/>
    </xf>
    <xf numFmtId="10" fontId="99" fillId="0" borderId="0" xfId="4494" applyNumberFormat="1" applyFont="1" applyBorder="1" applyAlignment="1" applyProtection="1">
      <alignment horizontal="center"/>
    </xf>
    <xf numFmtId="184" fontId="99" fillId="0" borderId="6" xfId="4496" applyNumberFormat="1" applyFont="1" applyBorder="1"/>
    <xf numFmtId="0" fontId="137" fillId="0" borderId="0" xfId="4496" applyFont="1" applyAlignment="1">
      <alignment horizontal="right" vertical="top"/>
    </xf>
    <xf numFmtId="182" fontId="137" fillId="0" borderId="0" xfId="4496" applyNumberFormat="1" applyFont="1"/>
    <xf numFmtId="182" fontId="99" fillId="0" borderId="6" xfId="8721" applyNumberFormat="1" applyFont="1" applyBorder="1" applyProtection="1"/>
    <xf numFmtId="184" fontId="99" fillId="0" borderId="0" xfId="4496" applyNumberFormat="1" applyFont="1" applyAlignment="1">
      <alignment horizontal="center"/>
    </xf>
    <xf numFmtId="0" fontId="99" fillId="0" borderId="6" xfId="4496" applyFont="1" applyBorder="1" applyAlignment="1">
      <alignment horizontal="right" vertical="top" wrapText="1" indent="1"/>
    </xf>
    <xf numFmtId="0" fontId="99" fillId="0" borderId="67" xfId="4496" applyFont="1" applyBorder="1" applyAlignment="1">
      <alignment horizontal="right" indent="1"/>
    </xf>
    <xf numFmtId="0" fontId="99" fillId="0" borderId="72" xfId="4496" applyFont="1" applyBorder="1" applyAlignment="1">
      <alignment horizontal="right" indent="1"/>
    </xf>
    <xf numFmtId="0" fontId="99" fillId="0" borderId="72" xfId="4496" quotePrefix="1" applyFont="1" applyBorder="1" applyAlignment="1">
      <alignment horizontal="right" indent="1"/>
    </xf>
    <xf numFmtId="0" fontId="99" fillId="0" borderId="69" xfId="4496" applyFont="1" applyBorder="1" applyAlignment="1">
      <alignment horizontal="right" indent="1"/>
    </xf>
    <xf numFmtId="182" fontId="99" fillId="0" borderId="71" xfId="4496" applyNumberFormat="1" applyFont="1" applyBorder="1"/>
    <xf numFmtId="182" fontId="99" fillId="0" borderId="76" xfId="4496" applyNumberFormat="1" applyFont="1" applyBorder="1"/>
    <xf numFmtId="182" fontId="99" fillId="0" borderId="77" xfId="4496" applyNumberFormat="1" applyFont="1" applyBorder="1"/>
    <xf numFmtId="175" fontId="25" fillId="0" borderId="0" xfId="543" applyNumberFormat="1" applyFont="1" applyAlignment="1">
      <alignment vertical="center"/>
    </xf>
    <xf numFmtId="10" fontId="137" fillId="0" borderId="0" xfId="4494" applyNumberFormat="1" applyFont="1" applyProtection="1"/>
    <xf numFmtId="0" fontId="25" fillId="0" borderId="0" xfId="1192" applyFont="1" applyAlignment="1">
      <alignment horizontal="left" indent="1"/>
    </xf>
    <xf numFmtId="168" fontId="99" fillId="0" borderId="11" xfId="4499" applyNumberFormat="1" applyFont="1" applyFill="1" applyBorder="1" applyAlignment="1" applyProtection="1">
      <alignment horizontal="left" vertical="center" indent="1"/>
    </xf>
    <xf numFmtId="168" fontId="137" fillId="0" borderId="68" xfId="4499" applyNumberFormat="1" applyFont="1" applyFill="1" applyBorder="1" applyAlignment="1" applyProtection="1">
      <alignment horizontal="left" vertical="center" indent="1"/>
    </xf>
    <xf numFmtId="182" fontId="99" fillId="0" borderId="13" xfId="4496" applyNumberFormat="1" applyFont="1" applyBorder="1"/>
    <xf numFmtId="182" fontId="99" fillId="0" borderId="70" xfId="4496" applyNumberFormat="1" applyFont="1" applyBorder="1"/>
    <xf numFmtId="0" fontId="36" fillId="0" borderId="0" xfId="4495" applyFont="1" applyAlignment="1">
      <alignment vertical="center"/>
    </xf>
    <xf numFmtId="0" fontId="123" fillId="0" borderId="0" xfId="4496" applyFont="1" applyAlignment="1">
      <alignment vertical="center" wrapText="1"/>
    </xf>
    <xf numFmtId="0" fontId="23" fillId="43" borderId="0" xfId="1192" applyFont="1" applyFill="1"/>
    <xf numFmtId="3" fontId="69" fillId="43" borderId="6" xfId="1192" applyNumberFormat="1" applyFont="1" applyFill="1" applyBorder="1"/>
    <xf numFmtId="0" fontId="153" fillId="0" borderId="0" xfId="0" applyFont="1"/>
    <xf numFmtId="0" fontId="23" fillId="0" borderId="11" xfId="253" applyFont="1" applyBorder="1" applyAlignment="1" applyProtection="1">
      <alignment horizontal="center" wrapText="1"/>
      <protection locked="0"/>
    </xf>
    <xf numFmtId="0" fontId="154" fillId="0" borderId="0" xfId="0" applyFont="1"/>
    <xf numFmtId="0" fontId="155" fillId="0" borderId="0" xfId="0" applyFont="1" applyAlignment="1">
      <alignment horizontal="center"/>
    </xf>
    <xf numFmtId="0" fontId="54" fillId="5" borderId="11" xfId="0" applyFont="1" applyFill="1" applyBorder="1" applyAlignment="1" applyProtection="1">
      <alignment horizontal="right" vertical="top" wrapText="1"/>
      <protection locked="0"/>
    </xf>
    <xf numFmtId="0" fontId="18" fillId="43" borderId="3" xfId="569" applyFill="1" applyBorder="1"/>
    <xf numFmtId="0" fontId="158" fillId="0" borderId="0" xfId="0" applyFont="1" applyAlignment="1">
      <alignment horizontal="right"/>
    </xf>
    <xf numFmtId="1" fontId="26" fillId="0" borderId="0" xfId="4495" applyNumberFormat="1" applyFont="1"/>
    <xf numFmtId="0" fontId="25" fillId="0" borderId="4" xfId="569" applyFont="1" applyBorder="1" applyAlignment="1">
      <alignment horizontal="center"/>
    </xf>
    <xf numFmtId="43" fontId="25" fillId="0" borderId="0" xfId="4503" applyFont="1" applyAlignment="1" applyProtection="1">
      <alignment horizontal="center"/>
    </xf>
    <xf numFmtId="0" fontId="25" fillId="0" borderId="0" xfId="569" applyFont="1" applyAlignment="1">
      <alignment horizontal="center" vertical="center"/>
    </xf>
    <xf numFmtId="0" fontId="25" fillId="0" borderId="16" xfId="569" applyFont="1" applyBorder="1" applyAlignment="1">
      <alignment horizontal="center"/>
    </xf>
    <xf numFmtId="49" fontId="25" fillId="0" borderId="4" xfId="569" applyNumberFormat="1" applyFont="1" applyBorder="1" applyAlignment="1">
      <alignment horizontal="center"/>
    </xf>
    <xf numFmtId="4" fontId="25" fillId="0" borderId="0" xfId="569" applyNumberFormat="1" applyFont="1" applyAlignment="1">
      <alignment horizontal="center"/>
    </xf>
    <xf numFmtId="0" fontId="18" fillId="0" borderId="0" xfId="569" applyAlignment="1">
      <alignment horizontal="center" wrapText="1"/>
    </xf>
    <xf numFmtId="0" fontId="18" fillId="0" borderId="0" xfId="0" applyFont="1" applyAlignment="1">
      <alignment vertical="center" wrapText="1"/>
    </xf>
    <xf numFmtId="3" fontId="23" fillId="43" borderId="11" xfId="271" applyNumberFormat="1" applyFont="1" applyFill="1" applyBorder="1" applyAlignment="1" applyProtection="1">
      <alignment horizontal="left"/>
      <protection locked="0"/>
    </xf>
    <xf numFmtId="0" fontId="99" fillId="43" borderId="6" xfId="4496" applyFont="1" applyFill="1" applyBorder="1" applyProtection="1">
      <protection locked="0"/>
    </xf>
    <xf numFmtId="1" fontId="99" fillId="0" borderId="0" xfId="4496" applyNumberFormat="1" applyFont="1" applyProtection="1">
      <protection locked="0"/>
    </xf>
    <xf numFmtId="182" fontId="163" fillId="0" borderId="11" xfId="4496" applyNumberFormat="1" applyFont="1" applyBorder="1"/>
    <xf numFmtId="44" fontId="99" fillId="0" borderId="0" xfId="4496" applyNumberFormat="1" applyFont="1"/>
    <xf numFmtId="182" fontId="23" fillId="0" borderId="11" xfId="4496" applyNumberFormat="1" applyFont="1" applyBorder="1"/>
    <xf numFmtId="9" fontId="99" fillId="0" borderId="0" xfId="4494" applyFont="1"/>
    <xf numFmtId="182" fontId="99" fillId="43" borderId="6" xfId="8721" applyNumberFormat="1" applyFont="1" applyFill="1" applyBorder="1" applyProtection="1">
      <protection locked="0"/>
    </xf>
    <xf numFmtId="0" fontId="18" fillId="0" borderId="0" xfId="4495" applyFont="1" applyAlignment="1">
      <alignment wrapText="1"/>
    </xf>
    <xf numFmtId="168" fontId="175" fillId="48" borderId="79" xfId="700" applyNumberFormat="1" applyFont="1" applyFill="1" applyBorder="1" applyAlignment="1" applyProtection="1">
      <protection locked="0"/>
    </xf>
    <xf numFmtId="3" fontId="46" fillId="10" borderId="0" xfId="543" applyNumberFormat="1" applyFont="1" applyFill="1" applyAlignment="1">
      <alignment vertical="center" wrapText="1"/>
    </xf>
    <xf numFmtId="0" fontId="182" fillId="0" borderId="0" xfId="543" applyFont="1" applyAlignment="1">
      <alignment horizontal="left" vertical="center"/>
    </xf>
    <xf numFmtId="0" fontId="183" fillId="0" borderId="0" xfId="543" applyFont="1" applyAlignment="1">
      <alignment horizontal="right" vertical="top" wrapText="1"/>
    </xf>
    <xf numFmtId="168" fontId="183" fillId="0" borderId="0" xfId="543" applyNumberFormat="1" applyFont="1" applyAlignment="1">
      <alignment horizontal="center" vertical="center"/>
    </xf>
    <xf numFmtId="0" fontId="184" fillId="0" borderId="0" xfId="543" applyFont="1" applyAlignment="1">
      <alignment horizontal="left" vertical="center"/>
    </xf>
    <xf numFmtId="0" fontId="184" fillId="0" borderId="0" xfId="543" applyFont="1" applyAlignment="1">
      <alignment horizontal="right" vertical="top" wrapText="1"/>
    </xf>
    <xf numFmtId="168" fontId="183" fillId="0" borderId="104" xfId="543" applyNumberFormat="1" applyFont="1" applyBorder="1" applyAlignment="1">
      <alignment horizontal="center" vertical="center"/>
    </xf>
    <xf numFmtId="0" fontId="184" fillId="0" borderId="106" xfId="543" applyFont="1" applyBorder="1" applyAlignment="1">
      <alignment horizontal="right" vertical="top" wrapText="1"/>
    </xf>
    <xf numFmtId="0" fontId="25" fillId="0" borderId="0" xfId="4495" applyFont="1" applyAlignment="1">
      <alignment wrapText="1"/>
    </xf>
    <xf numFmtId="182" fontId="18" fillId="0" borderId="0" xfId="700" applyNumberFormat="1" applyFont="1"/>
    <xf numFmtId="9" fontId="18" fillId="0" borderId="0" xfId="1022" applyFont="1"/>
    <xf numFmtId="168" fontId="18"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168" fontId="0" fillId="0" borderId="0" xfId="0" applyNumberFormat="1"/>
    <xf numFmtId="0" fontId="123" fillId="52" borderId="113" xfId="0" applyFont="1" applyFill="1" applyBorder="1"/>
    <xf numFmtId="0" fontId="123" fillId="53" borderId="113" xfId="0" applyFont="1" applyFill="1" applyBorder="1"/>
    <xf numFmtId="1" fontId="0" fillId="0" borderId="0" xfId="0" applyNumberFormat="1"/>
    <xf numFmtId="0" fontId="19"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9" fillId="0" borderId="0" xfId="244" applyAlignment="1">
      <alignment horizontal="left" vertical="top"/>
    </xf>
    <xf numFmtId="9" fontId="18" fillId="0" borderId="0" xfId="0" applyNumberFormat="1" applyFont="1"/>
    <xf numFmtId="185" fontId="169" fillId="0" borderId="0" xfId="698" applyNumberFormat="1" applyFont="1"/>
    <xf numFmtId="0" fontId="186" fillId="0" borderId="0" xfId="0" applyFont="1" applyAlignment="1">
      <alignment horizontal="center"/>
    </xf>
    <xf numFmtId="0" fontId="18" fillId="0" borderId="0" xfId="569" quotePrefix="1"/>
    <xf numFmtId="168" fontId="156" fillId="0" borderId="0" xfId="0" applyNumberFormat="1" applyFont="1" applyAlignment="1">
      <alignment vertical="center" wrapText="1"/>
    </xf>
    <xf numFmtId="168" fontId="187" fillId="0" borderId="0" xfId="0" applyNumberFormat="1" applyFont="1" applyAlignment="1">
      <alignment horizontal="center" vertical="center" wrapText="1"/>
    </xf>
    <xf numFmtId="0" fontId="0" fillId="0" borderId="0" xfId="0" applyAlignment="1">
      <alignment vertical="center"/>
    </xf>
    <xf numFmtId="0" fontId="25" fillId="0" borderId="0" xfId="4495" quotePrefix="1" applyFont="1"/>
    <xf numFmtId="0" fontId="25" fillId="0" borderId="0" xfId="4495" applyFont="1" applyAlignment="1">
      <alignment horizontal="left" vertical="center"/>
    </xf>
    <xf numFmtId="0" fontId="25" fillId="0" borderId="0" xfId="4495" applyFont="1" applyAlignment="1">
      <alignment vertical="center"/>
    </xf>
    <xf numFmtId="0" fontId="123" fillId="0" borderId="58" xfId="4496" applyFont="1" applyBorder="1" applyAlignment="1">
      <alignment vertical="center"/>
    </xf>
    <xf numFmtId="0" fontId="25" fillId="0" borderId="5" xfId="4495" applyFont="1" applyBorder="1"/>
    <xf numFmtId="182" fontId="99" fillId="0" borderId="6" xfId="4496" applyNumberFormat="1" applyFont="1" applyBorder="1" applyAlignment="1">
      <alignment vertical="center"/>
    </xf>
    <xf numFmtId="1" fontId="99" fillId="0" borderId="0" xfId="4496" applyNumberFormat="1" applyFont="1" applyAlignment="1">
      <alignment horizontal="right" vertical="top" wrapText="1" indent="1"/>
    </xf>
    <xf numFmtId="3" fontId="99" fillId="43" borderId="6" xfId="4496" applyNumberFormat="1" applyFont="1" applyFill="1" applyBorder="1" applyAlignment="1" applyProtection="1">
      <alignment horizontal="center"/>
      <protection locked="0"/>
    </xf>
    <xf numFmtId="0" fontId="2" fillId="0" borderId="0" xfId="8736"/>
    <xf numFmtId="0" fontId="169" fillId="0" borderId="0" xfId="8736" applyFont="1"/>
    <xf numFmtId="0" fontId="104" fillId="0" borderId="0" xfId="8736" applyFont="1"/>
    <xf numFmtId="0" fontId="2" fillId="47" borderId="66" xfId="8736" applyFill="1" applyBorder="1"/>
    <xf numFmtId="0" fontId="2" fillId="47" borderId="0" xfId="8736" applyFill="1"/>
    <xf numFmtId="0" fontId="103" fillId="47" borderId="0" xfId="8736" applyFont="1" applyFill="1"/>
    <xf numFmtId="9" fontId="2" fillId="44" borderId="3" xfId="1022" applyFont="1" applyFill="1" applyBorder="1" applyAlignment="1">
      <alignment horizontal="centerContinuous"/>
    </xf>
    <xf numFmtId="9" fontId="2" fillId="44" borderId="4" xfId="1022" applyFont="1" applyFill="1" applyBorder="1" applyAlignment="1">
      <alignment horizontal="centerContinuous"/>
    </xf>
    <xf numFmtId="9" fontId="2" fillId="44" borderId="5" xfId="1022" applyFont="1" applyFill="1" applyBorder="1" applyAlignment="1">
      <alignment horizontal="centerContinuous"/>
    </xf>
    <xf numFmtId="0" fontId="103" fillId="47" borderId="41" xfId="8736" applyFont="1" applyFill="1" applyBorder="1" applyAlignment="1">
      <alignment horizontal="center"/>
    </xf>
    <xf numFmtId="182" fontId="174" fillId="47" borderId="0" xfId="8737" applyNumberFormat="1" applyFont="1" applyFill="1" applyBorder="1" applyAlignment="1"/>
    <xf numFmtId="0" fontId="2" fillId="47" borderId="41" xfId="8736" applyFill="1" applyBorder="1"/>
    <xf numFmtId="0" fontId="104" fillId="47" borderId="0" xfId="8736" applyFont="1" applyFill="1"/>
    <xf numFmtId="0" fontId="178" fillId="47" borderId="0" xfId="8736" applyFont="1" applyFill="1"/>
    <xf numFmtId="0" fontId="103" fillId="47" borderId="41" xfId="8736" applyFont="1" applyFill="1" applyBorder="1"/>
    <xf numFmtId="0" fontId="103" fillId="0" borderId="0" xfId="8736" applyFont="1"/>
    <xf numFmtId="0" fontId="166" fillId="0" borderId="0" xfId="8736" applyFont="1"/>
    <xf numFmtId="0" fontId="103" fillId="54" borderId="100" xfId="8736" applyFont="1" applyFill="1" applyBorder="1"/>
    <xf numFmtId="0" fontId="2" fillId="53" borderId="99" xfId="8736" applyFill="1" applyBorder="1"/>
    <xf numFmtId="0" fontId="2" fillId="52" borderId="99" xfId="8736" applyFill="1" applyBorder="1"/>
    <xf numFmtId="0" fontId="103" fillId="45" borderId="65" xfId="8736" applyFont="1" applyFill="1" applyBorder="1"/>
    <xf numFmtId="0" fontId="2" fillId="45" borderId="80" xfId="8736" applyFill="1" applyBorder="1"/>
    <xf numFmtId="0" fontId="2" fillId="45" borderId="79" xfId="8736" applyFill="1" applyBorder="1"/>
    <xf numFmtId="0" fontId="2" fillId="45" borderId="78" xfId="8736" applyFill="1" applyBorder="1"/>
    <xf numFmtId="0" fontId="103" fillId="45" borderId="0" xfId="8736" applyFont="1" applyFill="1"/>
    <xf numFmtId="0" fontId="103" fillId="45" borderId="12" xfId="8736" applyFont="1" applyFill="1" applyBorder="1"/>
    <xf numFmtId="0" fontId="103" fillId="45" borderId="29" xfId="8736" applyFont="1" applyFill="1" applyBorder="1"/>
    <xf numFmtId="0" fontId="103" fillId="45" borderId="80" xfId="8736" applyFont="1" applyFill="1" applyBorder="1"/>
    <xf numFmtId="0" fontId="103" fillId="45" borderId="79" xfId="8736" applyFont="1" applyFill="1" applyBorder="1"/>
    <xf numFmtId="0" fontId="103" fillId="45" borderId="78" xfId="8736" applyFont="1" applyFill="1" applyBorder="1"/>
    <xf numFmtId="0" fontId="103" fillId="45" borderId="93" xfId="8736" applyFont="1" applyFill="1" applyBorder="1"/>
    <xf numFmtId="0" fontId="103" fillId="45" borderId="6" xfId="8736" applyFont="1" applyFill="1" applyBorder="1"/>
    <xf numFmtId="0" fontId="103" fillId="45" borderId="10" xfId="8736" applyFont="1" applyFill="1" applyBorder="1"/>
    <xf numFmtId="0" fontId="169" fillId="44" borderId="0" xfId="8736" applyFont="1" applyFill="1"/>
    <xf numFmtId="10" fontId="169" fillId="44" borderId="0" xfId="1022" applyNumberFormat="1" applyFont="1" applyFill="1"/>
    <xf numFmtId="0" fontId="2" fillId="45" borderId="29" xfId="8736" applyFill="1" applyBorder="1"/>
    <xf numFmtId="0" fontId="2" fillId="45" borderId="31" xfId="8736" applyFill="1" applyBorder="1"/>
    <xf numFmtId="0" fontId="103" fillId="45" borderId="92" xfId="8736" applyFont="1" applyFill="1" applyBorder="1"/>
    <xf numFmtId="0" fontId="103" fillId="45" borderId="74" xfId="8736" applyFont="1" applyFill="1" applyBorder="1"/>
    <xf numFmtId="0" fontId="180" fillId="47" borderId="0" xfId="8736" applyFont="1" applyFill="1"/>
    <xf numFmtId="0" fontId="103" fillId="45" borderId="31" xfId="8736" applyFont="1" applyFill="1" applyBorder="1"/>
    <xf numFmtId="0" fontId="2" fillId="47" borderId="0" xfId="8736" applyFill="1" applyAlignment="1">
      <alignment horizontal="left"/>
    </xf>
    <xf numFmtId="0" fontId="172" fillId="51" borderId="11" xfId="8736" applyFont="1" applyFill="1" applyBorder="1"/>
    <xf numFmtId="0" fontId="172" fillId="51" borderId="76" xfId="8736" applyFont="1" applyFill="1" applyBorder="1"/>
    <xf numFmtId="0" fontId="173" fillId="51" borderId="11" xfId="8736" applyFont="1" applyFill="1" applyBorder="1" applyAlignment="1">
      <alignment horizontal="center"/>
    </xf>
    <xf numFmtId="0" fontId="173" fillId="51" borderId="76" xfId="8736" applyFont="1" applyFill="1" applyBorder="1" applyAlignment="1">
      <alignment horizontal="center"/>
    </xf>
    <xf numFmtId="0" fontId="2" fillId="48" borderId="66" xfId="8736" applyFill="1" applyBorder="1"/>
    <xf numFmtId="0" fontId="2" fillId="48" borderId="0" xfId="8736" applyFill="1"/>
    <xf numFmtId="0" fontId="2" fillId="48" borderId="78" xfId="8736" applyFill="1" applyBorder="1"/>
    <xf numFmtId="0" fontId="103" fillId="47" borderId="66" xfId="8736" applyFont="1" applyFill="1" applyBorder="1"/>
    <xf numFmtId="49" fontId="103" fillId="47" borderId="66" xfId="8736" applyNumberFormat="1" applyFont="1" applyFill="1" applyBorder="1" applyAlignment="1">
      <alignment horizontal="right" vertical="top"/>
    </xf>
    <xf numFmtId="0" fontId="2" fillId="47" borderId="73" xfId="8736" applyFill="1" applyBorder="1"/>
    <xf numFmtId="0" fontId="2" fillId="47" borderId="42" xfId="8736" applyFill="1" applyBorder="1"/>
    <xf numFmtId="0" fontId="2" fillId="47" borderId="44" xfId="8736" applyFill="1" applyBorder="1"/>
    <xf numFmtId="0" fontId="2" fillId="44" borderId="66" xfId="8736" applyFill="1" applyBorder="1"/>
    <xf numFmtId="0" fontId="2" fillId="44" borderId="0" xfId="8736" applyFill="1"/>
    <xf numFmtId="0" fontId="2" fillId="44" borderId="41" xfId="8736" applyFill="1" applyBorder="1"/>
    <xf numFmtId="0" fontId="2" fillId="44" borderId="0" xfId="8736" applyFill="1" applyAlignment="1">
      <alignment horizontal="left"/>
    </xf>
    <xf numFmtId="0" fontId="2" fillId="44" borderId="73" xfId="8736" applyFill="1" applyBorder="1"/>
    <xf numFmtId="0" fontId="2" fillId="44" borderId="42" xfId="8736" applyFill="1" applyBorder="1"/>
    <xf numFmtId="0" fontId="2" fillId="44" borderId="44" xfId="8736" applyFill="1" applyBorder="1"/>
    <xf numFmtId="0" fontId="164" fillId="0" borderId="0" xfId="8736" applyFont="1"/>
    <xf numFmtId="0" fontId="27" fillId="45" borderId="3" xfId="0" applyFont="1" applyFill="1" applyBorder="1" applyAlignment="1">
      <alignment horizontal="center"/>
    </xf>
    <xf numFmtId="0" fontId="27" fillId="45" borderId="4" xfId="0" applyFont="1" applyFill="1" applyBorder="1" applyAlignment="1">
      <alignment horizontal="center"/>
    </xf>
    <xf numFmtId="0" fontId="27" fillId="45" borderId="5" xfId="0" applyFont="1" applyFill="1" applyBorder="1" applyAlignment="1">
      <alignment horizontal="center"/>
    </xf>
    <xf numFmtId="0" fontId="27" fillId="0" borderId="3" xfId="0" applyFont="1" applyBorder="1" applyAlignment="1">
      <alignment horizontal="center"/>
    </xf>
    <xf numFmtId="0" fontId="27" fillId="0" borderId="4" xfId="0" applyFont="1" applyBorder="1" applyAlignment="1">
      <alignment horizontal="center"/>
    </xf>
    <xf numFmtId="0" fontId="27" fillId="0" borderId="5" xfId="0" applyFont="1" applyBorder="1" applyAlignment="1">
      <alignment horizontal="center"/>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84" fillId="0" borderId="105" xfId="543" applyNumberFormat="1" applyFont="1" applyBorder="1" applyAlignment="1">
      <alignment horizontal="right" vertical="center" wrapText="1"/>
    </xf>
    <xf numFmtId="175" fontId="184" fillId="0" borderId="107" xfId="543" applyNumberFormat="1" applyFont="1" applyBorder="1" applyAlignment="1">
      <alignment horizontal="center" vertical="center" wrapText="1"/>
    </xf>
    <xf numFmtId="175" fontId="184" fillId="0" borderId="108" xfId="543" applyNumberFormat="1" applyFont="1" applyBorder="1" applyAlignment="1">
      <alignment horizontal="center" vertical="center" wrapText="1"/>
    </xf>
    <xf numFmtId="175" fontId="184" fillId="0" borderId="109" xfId="543" applyNumberFormat="1" applyFont="1" applyBorder="1" applyAlignment="1">
      <alignment horizontal="center" vertical="center" wrapText="1"/>
    </xf>
    <xf numFmtId="0" fontId="183"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41" fillId="0" borderId="3" xfId="0" applyFont="1" applyBorder="1" applyAlignment="1">
      <alignment horizontal="center"/>
    </xf>
    <xf numFmtId="0" fontId="41" fillId="0" borderId="4" xfId="0" applyFont="1" applyBorder="1" applyAlignment="1">
      <alignment horizontal="center"/>
    </xf>
    <xf numFmtId="0" fontId="41" fillId="0" borderId="5" xfId="0" applyFont="1" applyBorder="1" applyAlignment="1">
      <alignment horizontal="center"/>
    </xf>
    <xf numFmtId="0" fontId="18" fillId="0" borderId="3" xfId="0" applyFont="1" applyBorder="1" applyAlignment="1">
      <alignment horizontal="center"/>
    </xf>
    <xf numFmtId="0" fontId="18" fillId="0" borderId="4" xfId="0" applyFont="1" applyBorder="1" applyAlignment="1">
      <alignment horizontal="center"/>
    </xf>
    <xf numFmtId="0" fontId="18" fillId="0" borderId="5" xfId="0" applyFont="1" applyBorder="1" applyAlignment="1">
      <alignment horizontal="center"/>
    </xf>
    <xf numFmtId="0" fontId="27" fillId="45" borderId="11" xfId="0" applyFont="1" applyFill="1" applyBorder="1" applyAlignment="1">
      <alignment horizontal="center"/>
    </xf>
    <xf numFmtId="0" fontId="27" fillId="5" borderId="6" xfId="0" applyFont="1" applyFill="1" applyBorder="1" applyAlignment="1" applyProtection="1">
      <alignment horizontal="center"/>
      <protection locked="0"/>
    </xf>
    <xf numFmtId="0" fontId="27" fillId="5" borderId="3" xfId="0" applyFont="1" applyFill="1" applyBorder="1" applyAlignment="1" applyProtection="1">
      <alignment horizontal="center"/>
      <protection locked="0"/>
    </xf>
    <xf numFmtId="0" fontId="27" fillId="5" borderId="4" xfId="0" applyFont="1" applyFill="1" applyBorder="1" applyAlignment="1" applyProtection="1">
      <alignment horizontal="center"/>
      <protection locked="0"/>
    </xf>
    <xf numFmtId="0" fontId="27" fillId="5" borderId="5" xfId="0" applyFont="1" applyFill="1" applyBorder="1" applyAlignment="1" applyProtection="1">
      <alignment horizontal="center"/>
      <protection locked="0"/>
    </xf>
    <xf numFmtId="9" fontId="27" fillId="5" borderId="3" xfId="0" applyNumberFormat="1" applyFont="1" applyFill="1" applyBorder="1" applyAlignment="1" applyProtection="1">
      <alignment horizontal="center"/>
      <protection locked="0"/>
    </xf>
    <xf numFmtId="9" fontId="27" fillId="5" borderId="4" xfId="0" applyNumberFormat="1" applyFont="1" applyFill="1" applyBorder="1" applyAlignment="1" applyProtection="1">
      <alignment horizontal="center"/>
      <protection locked="0"/>
    </xf>
    <xf numFmtId="9" fontId="27" fillId="5" borderId="5" xfId="0" applyNumberFormat="1" applyFont="1" applyFill="1" applyBorder="1" applyAlignment="1" applyProtection="1">
      <alignment horizontal="center"/>
      <protection locked="0"/>
    </xf>
    <xf numFmtId="168" fontId="27" fillId="5" borderId="3" xfId="0" applyNumberFormat="1" applyFont="1" applyFill="1" applyBorder="1" applyAlignment="1" applyProtection="1">
      <alignment horizontal="center"/>
      <protection locked="0"/>
    </xf>
    <xf numFmtId="168" fontId="27" fillId="5" borderId="4" xfId="0" applyNumberFormat="1" applyFont="1" applyFill="1" applyBorder="1" applyAlignment="1" applyProtection="1">
      <alignment horizontal="center"/>
      <protection locked="0"/>
    </xf>
    <xf numFmtId="168" fontId="27" fillId="5" borderId="5" xfId="0" applyNumberFormat="1" applyFont="1" applyFill="1" applyBorder="1" applyAlignment="1" applyProtection="1">
      <alignment horizontal="center"/>
      <protection locked="0"/>
    </xf>
    <xf numFmtId="168" fontId="27" fillId="0" borderId="3" xfId="0" applyNumberFormat="1" applyFont="1" applyBorder="1" applyAlignment="1">
      <alignment horizontal="center"/>
    </xf>
    <xf numFmtId="168" fontId="27" fillId="0" borderId="4" xfId="0" applyNumberFormat="1" applyFont="1" applyBorder="1" applyAlignment="1">
      <alignment horizontal="center"/>
    </xf>
    <xf numFmtId="168" fontId="27" fillId="0" borderId="5" xfId="0" applyNumberFormat="1" applyFont="1" applyBorder="1" applyAlignment="1">
      <alignment horizontal="center"/>
    </xf>
    <xf numFmtId="165" fontId="27" fillId="0" borderId="1" xfId="0" applyNumberFormat="1" applyFont="1" applyBorder="1" applyAlignment="1">
      <alignment horizontal="right"/>
    </xf>
    <xf numFmtId="165" fontId="27" fillId="0" borderId="2" xfId="0" applyNumberFormat="1" applyFont="1" applyBorder="1" applyAlignment="1">
      <alignment horizontal="right"/>
    </xf>
    <xf numFmtId="165" fontId="27" fillId="0" borderId="7" xfId="0" applyNumberFormat="1" applyFont="1" applyBorder="1" applyAlignment="1">
      <alignment horizontal="right"/>
    </xf>
    <xf numFmtId="0" fontId="18" fillId="0" borderId="11" xfId="0" applyFont="1" applyBorder="1" applyAlignment="1">
      <alignment horizontal="center"/>
    </xf>
    <xf numFmtId="0" fontId="27" fillId="2" borderId="11" xfId="0" applyFont="1" applyFill="1" applyBorder="1" applyAlignment="1">
      <alignment horizontal="center"/>
    </xf>
    <xf numFmtId="0" fontId="0" fillId="0" borderId="11" xfId="0" applyBorder="1" applyAlignment="1">
      <alignment horizontal="center"/>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0" fillId="0" borderId="6" xfId="0" applyBorder="1" applyAlignment="1">
      <alignment horizontal="left"/>
    </xf>
    <xf numFmtId="0" fontId="18" fillId="0" borderId="1" xfId="0" applyFont="1" applyBorder="1" applyAlignment="1">
      <alignment horizontal="center" vertical="top" wrapText="1"/>
    </xf>
    <xf numFmtId="0" fontId="27" fillId="0" borderId="2" xfId="0" applyFont="1" applyBorder="1" applyAlignment="1">
      <alignment horizontal="center" vertical="top" wrapText="1"/>
    </xf>
    <xf numFmtId="0" fontId="27" fillId="0" borderId="7" xfId="0" applyFont="1" applyBorder="1" applyAlignment="1">
      <alignment horizontal="center" vertical="top" wrapText="1"/>
    </xf>
    <xf numFmtId="0" fontId="27" fillId="0" borderId="8" xfId="0" applyFont="1" applyBorder="1" applyAlignment="1">
      <alignment horizontal="center" vertical="top" wrapText="1"/>
    </xf>
    <xf numFmtId="0" fontId="27" fillId="0" borderId="0" xfId="0" applyFont="1" applyAlignment="1">
      <alignment horizontal="center" vertical="top" wrapText="1"/>
    </xf>
    <xf numFmtId="0" fontId="27" fillId="0" borderId="12" xfId="0" applyFont="1" applyBorder="1" applyAlignment="1">
      <alignment horizontal="center" vertical="top" wrapText="1"/>
    </xf>
    <xf numFmtId="0" fontId="27" fillId="0" borderId="9" xfId="0" applyFont="1" applyBorder="1" applyAlignment="1">
      <alignment horizontal="center" vertical="top" wrapText="1"/>
    </xf>
    <xf numFmtId="0" fontId="27" fillId="0" borderId="6" xfId="0" applyFont="1" applyBorder="1" applyAlignment="1">
      <alignment horizontal="center" vertical="top" wrapText="1"/>
    </xf>
    <xf numFmtId="0" fontId="27" fillId="0" borderId="10" xfId="0" applyFont="1" applyBorder="1" applyAlignment="1">
      <alignment horizontal="center" vertical="top" wrapText="1"/>
    </xf>
    <xf numFmtId="0" fontId="0" fillId="5" borderId="6" xfId="0" applyFill="1" applyBorder="1" applyAlignment="1" applyProtection="1">
      <alignment horizontal="center"/>
      <protection locked="0"/>
    </xf>
    <xf numFmtId="175" fontId="18" fillId="43" borderId="3" xfId="0" applyNumberFormat="1" applyFont="1" applyFill="1" applyBorder="1" applyAlignment="1" applyProtection="1">
      <alignment horizontal="center"/>
      <protection locked="0"/>
    </xf>
    <xf numFmtId="175" fontId="18" fillId="43" borderId="4" xfId="0" applyNumberFormat="1" applyFont="1" applyFill="1" applyBorder="1" applyAlignment="1" applyProtection="1">
      <alignment horizontal="center"/>
      <protection locked="0"/>
    </xf>
    <xf numFmtId="175" fontId="18" fillId="43" borderId="5" xfId="0" applyNumberFormat="1" applyFont="1" applyFill="1" applyBorder="1" applyAlignment="1" applyProtection="1">
      <alignment horizontal="center"/>
      <protection locked="0"/>
    </xf>
    <xf numFmtId="166" fontId="18" fillId="5" borderId="4" xfId="0" applyNumberFormat="1" applyFont="1" applyFill="1" applyBorder="1" applyAlignment="1" applyProtection="1">
      <alignment horizontal="left"/>
      <protection locked="0"/>
    </xf>
    <xf numFmtId="166" fontId="27" fillId="5" borderId="4" xfId="0" applyNumberFormat="1" applyFont="1" applyFill="1" applyBorder="1" applyAlignment="1" applyProtection="1">
      <alignment horizontal="left"/>
      <protection locked="0"/>
    </xf>
    <xf numFmtId="10" fontId="27" fillId="0" borderId="11" xfId="0" applyNumberFormat="1" applyFont="1" applyBorder="1" applyAlignment="1">
      <alignment horizontal="center"/>
    </xf>
    <xf numFmtId="0" fontId="27" fillId="5" borderId="9" xfId="0" applyFont="1" applyFill="1" applyBorder="1" applyAlignment="1" applyProtection="1">
      <alignment horizontal="center"/>
      <protection locked="0"/>
    </xf>
    <xf numFmtId="175" fontId="0" fillId="5" borderId="4" xfId="0" applyNumberFormat="1" applyFill="1" applyBorder="1" applyAlignment="1" applyProtection="1">
      <alignment horizontal="left" vertical="center" wrapText="1"/>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1" fontId="27" fillId="5" borderId="3" xfId="0" applyNumberFormat="1" applyFont="1" applyFill="1" applyBorder="1" applyAlignment="1" applyProtection="1">
      <alignment horizontal="right" vertical="top"/>
      <protection locked="0"/>
    </xf>
    <xf numFmtId="1" fontId="27" fillId="5" borderId="4" xfId="0" applyNumberFormat="1" applyFont="1" applyFill="1" applyBorder="1" applyAlignment="1" applyProtection="1">
      <alignment horizontal="right" vertical="top"/>
      <protection locked="0"/>
    </xf>
    <xf numFmtId="1" fontId="27" fillId="5" borderId="5" xfId="0" applyNumberFormat="1" applyFont="1" applyFill="1" applyBorder="1" applyAlignment="1" applyProtection="1">
      <alignment horizontal="right" vertical="top"/>
      <protection locked="0"/>
    </xf>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168" fontId="18" fillId="0" borderId="3" xfId="0" applyNumberFormat="1" applyFont="1" applyBorder="1" applyAlignment="1">
      <alignment horizontal="left" vertical="top"/>
    </xf>
    <xf numFmtId="168" fontId="18" fillId="0" borderId="4" xfId="0" applyNumberFormat="1" applyFont="1" applyBorder="1" applyAlignment="1">
      <alignment horizontal="left" vertical="top"/>
    </xf>
    <xf numFmtId="168" fontId="18" fillId="0" borderId="5" xfId="0" applyNumberFormat="1" applyFont="1" applyBorder="1" applyAlignment="1">
      <alignment horizontal="left" vertical="top"/>
    </xf>
    <xf numFmtId="0" fontId="25" fillId="0" borderId="1" xfId="0" applyFont="1" applyBorder="1" applyAlignment="1">
      <alignment horizontal="center" vertical="center" wrapText="1"/>
    </xf>
    <xf numFmtId="0" fontId="25" fillId="0" borderId="2" xfId="0" applyFont="1" applyBorder="1" applyAlignment="1">
      <alignment horizontal="center" vertical="center" wrapText="1"/>
    </xf>
    <xf numFmtId="0" fontId="25" fillId="0" borderId="7" xfId="0" applyFont="1" applyBorder="1" applyAlignment="1">
      <alignment horizontal="center" vertical="center" wrapText="1"/>
    </xf>
    <xf numFmtId="0" fontId="25" fillId="0" borderId="8" xfId="0" applyFont="1" applyBorder="1" applyAlignment="1">
      <alignment horizontal="center" vertical="center" wrapText="1"/>
    </xf>
    <xf numFmtId="0" fontId="25" fillId="0" borderId="0" xfId="0" applyFont="1" applyAlignment="1">
      <alignment horizontal="center" vertical="center" wrapText="1"/>
    </xf>
    <xf numFmtId="0" fontId="25" fillId="0" borderId="12" xfId="0" applyFont="1" applyBorder="1" applyAlignment="1">
      <alignment horizontal="center" vertical="center" wrapText="1"/>
    </xf>
    <xf numFmtId="0" fontId="25" fillId="0" borderId="9" xfId="0" applyFont="1" applyBorder="1" applyAlignment="1">
      <alignment horizontal="center" vertical="center" wrapText="1"/>
    </xf>
    <xf numFmtId="0" fontId="25" fillId="0" borderId="6" xfId="0" applyFont="1" applyBorder="1" applyAlignment="1">
      <alignment horizontal="center" vertical="center" wrapText="1"/>
    </xf>
    <xf numFmtId="0" fontId="25" fillId="0" borderId="10" xfId="0" applyFont="1" applyBorder="1" applyAlignment="1">
      <alignment horizontal="center" vertical="center" wrapText="1"/>
    </xf>
    <xf numFmtId="0" fontId="0" fillId="0" borderId="0" xfId="0" applyAlignment="1">
      <alignment horizontal="center"/>
    </xf>
    <xf numFmtId="0" fontId="0" fillId="0" borderId="12" xfId="0" applyBorder="1" applyAlignment="1">
      <alignment horizontal="center"/>
    </xf>
    <xf numFmtId="0" fontId="18" fillId="5" borderId="6" xfId="0" applyFont="1" applyFill="1" applyBorder="1" applyAlignment="1" applyProtection="1">
      <alignment horizontal="left"/>
      <protection locked="0"/>
    </xf>
    <xf numFmtId="0" fontId="0" fillId="5" borderId="6" xfId="0" applyFill="1" applyBorder="1" applyAlignment="1" applyProtection="1">
      <alignment horizontal="left"/>
      <protection locked="0"/>
    </xf>
    <xf numFmtId="0" fontId="25" fillId="0" borderId="3" xfId="0" applyFont="1" applyBorder="1" applyAlignment="1">
      <alignment horizontal="right"/>
    </xf>
    <xf numFmtId="0" fontId="25" fillId="0" borderId="4" xfId="0" applyFont="1" applyBorder="1" applyAlignment="1">
      <alignment horizontal="right"/>
    </xf>
    <xf numFmtId="0" fontId="25" fillId="0" borderId="6" xfId="0" applyFont="1" applyBorder="1" applyAlignment="1">
      <alignment horizontal="right"/>
    </xf>
    <xf numFmtId="0" fontId="25" fillId="0" borderId="5" xfId="0" applyFont="1" applyBorder="1" applyAlignment="1">
      <alignment horizontal="right"/>
    </xf>
    <xf numFmtId="180" fontId="26" fillId="43" borderId="3" xfId="0" applyNumberFormat="1" applyFont="1" applyFill="1" applyBorder="1" applyAlignment="1" applyProtection="1">
      <alignment horizontal="center" vertical="center"/>
      <protection locked="0"/>
    </xf>
    <xf numFmtId="180" fontId="26" fillId="43" borderId="4" xfId="0" applyNumberFormat="1" applyFont="1" applyFill="1" applyBorder="1" applyAlignment="1" applyProtection="1">
      <alignment horizontal="center" vertical="center"/>
      <protection locked="0"/>
    </xf>
    <xf numFmtId="180" fontId="26" fillId="43" borderId="5" xfId="0" applyNumberFormat="1" applyFont="1" applyFill="1" applyBorder="1" applyAlignment="1" applyProtection="1">
      <alignment horizontal="center" vertical="center"/>
      <protection locked="0"/>
    </xf>
    <xf numFmtId="0" fontId="25" fillId="0" borderId="6" xfId="0" applyFont="1" applyBorder="1" applyAlignment="1">
      <alignment horizontal="center"/>
    </xf>
    <xf numFmtId="0" fontId="25" fillId="0" borderId="10" xfId="0" applyFont="1" applyBorder="1" applyAlignment="1">
      <alignment horizontal="center"/>
    </xf>
    <xf numFmtId="3" fontId="27" fillId="0" borderId="11" xfId="0" applyNumberFormat="1" applyFont="1" applyBorder="1" applyAlignment="1">
      <alignment horizontal="center"/>
    </xf>
    <xf numFmtId="168" fontId="27" fillId="0" borderId="3" xfId="0" applyNumberFormat="1" applyFont="1" applyBorder="1" applyAlignment="1">
      <alignment horizontal="left" vertical="top"/>
    </xf>
    <xf numFmtId="168" fontId="27" fillId="0" borderId="4" xfId="0" applyNumberFormat="1" applyFont="1" applyBorder="1" applyAlignment="1">
      <alignment horizontal="left" vertical="top"/>
    </xf>
    <xf numFmtId="168" fontId="27" fillId="0" borderId="5" xfId="0" applyNumberFormat="1" applyFont="1" applyBorder="1" applyAlignment="1">
      <alignment horizontal="left" vertical="top"/>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18" fillId="5" borderId="11" xfId="0" applyFont="1" applyFill="1" applyBorder="1" applyAlignment="1" applyProtection="1">
      <alignment vertical="center" wrapText="1"/>
      <protection locked="0"/>
    </xf>
    <xf numFmtId="0" fontId="18" fillId="5" borderId="11" xfId="0" applyFont="1" applyFill="1" applyBorder="1" applyAlignment="1" applyProtection="1">
      <alignment horizontal="left" vertical="center" wrapText="1"/>
      <protection locked="0"/>
    </xf>
    <xf numFmtId="175" fontId="18" fillId="43" borderId="3" xfId="0" applyNumberFormat="1" applyFont="1" applyFill="1" applyBorder="1" applyAlignment="1" applyProtection="1">
      <alignment horizontal="center" vertical="center"/>
      <protection locked="0"/>
    </xf>
    <xf numFmtId="175" fontId="18" fillId="43" borderId="4" xfId="0" applyNumberFormat="1" applyFont="1" applyFill="1" applyBorder="1" applyAlignment="1" applyProtection="1">
      <alignment horizontal="center" vertical="center"/>
      <protection locked="0"/>
    </xf>
    <xf numFmtId="175" fontId="18" fillId="43" borderId="5" xfId="0" applyNumberFormat="1" applyFont="1" applyFill="1" applyBorder="1" applyAlignment="1" applyProtection="1">
      <alignment horizontal="center" vertical="center"/>
      <protection locked="0"/>
    </xf>
    <xf numFmtId="49" fontId="0" fillId="5" borderId="6" xfId="0" applyNumberFormat="1" applyFill="1" applyBorder="1" applyAlignment="1" applyProtection="1">
      <alignment horizontal="center"/>
      <protection locked="0"/>
    </xf>
    <xf numFmtId="0" fontId="27" fillId="5" borderId="4" xfId="0" applyFont="1" applyFill="1" applyBorder="1" applyAlignment="1" applyProtection="1">
      <alignment horizontal="right"/>
      <protection locked="0"/>
    </xf>
    <xf numFmtId="168" fontId="27" fillId="5" borderId="6" xfId="0" applyNumberFormat="1" applyFont="1" applyFill="1" applyBorder="1" applyAlignment="1" applyProtection="1">
      <alignment horizontal="right"/>
      <protection locked="0"/>
    </xf>
    <xf numFmtId="168" fontId="27" fillId="5" borderId="4" xfId="0" applyNumberFormat="1" applyFont="1" applyFill="1" applyBorder="1" applyAlignment="1" applyProtection="1">
      <alignment horizontal="right"/>
      <protection locked="0"/>
    </xf>
    <xf numFmtId="165" fontId="27" fillId="5" borderId="3" xfId="0" applyNumberFormat="1" applyFont="1" applyFill="1" applyBorder="1" applyAlignment="1" applyProtection="1">
      <alignment horizontal="center"/>
      <protection locked="0"/>
    </xf>
    <xf numFmtId="165" fontId="27" fillId="5" borderId="4" xfId="0" applyNumberFormat="1" applyFont="1" applyFill="1" applyBorder="1" applyAlignment="1" applyProtection="1">
      <alignment horizontal="center"/>
      <protection locked="0"/>
    </xf>
    <xf numFmtId="165" fontId="27"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8" fillId="5" borderId="3"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5" xfId="0" applyFill="1" applyBorder="1" applyAlignment="1" applyProtection="1">
      <alignment horizontal="left"/>
      <protection locked="0"/>
    </xf>
    <xf numFmtId="0" fontId="18"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0" fillId="43" borderId="10" xfId="0" applyFill="1" applyBorder="1" applyAlignment="1" applyProtection="1">
      <alignment horizontal="left"/>
      <protection locked="0"/>
    </xf>
    <xf numFmtId="0" fontId="0" fillId="5" borderId="3" xfId="0" applyFill="1" applyBorder="1" applyAlignment="1" applyProtection="1">
      <alignment horizontal="left"/>
      <protection locked="0"/>
    </xf>
    <xf numFmtId="168" fontId="27" fillId="0" borderId="11" xfId="0" applyNumberFormat="1" applyFont="1" applyBorder="1" applyAlignment="1">
      <alignment horizontal="center"/>
    </xf>
    <xf numFmtId="0" fontId="18"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27" fillId="5" borderId="11" xfId="0" applyFont="1" applyFill="1" applyBorder="1" applyAlignment="1" applyProtection="1">
      <alignment horizontal="center"/>
      <protection locked="0"/>
    </xf>
    <xf numFmtId="168" fontId="18" fillId="43" borderId="3" xfId="0" applyNumberFormat="1" applyFont="1" applyFill="1" applyBorder="1" applyAlignment="1" applyProtection="1">
      <alignment horizontal="center" vertical="center"/>
      <protection locked="0"/>
    </xf>
    <xf numFmtId="168" fontId="18" fillId="43" borderId="4" xfId="0" applyNumberFormat="1" applyFont="1" applyFill="1" applyBorder="1" applyAlignment="1" applyProtection="1">
      <alignment horizontal="center" vertical="center"/>
      <protection locked="0"/>
    </xf>
    <xf numFmtId="168" fontId="18" fillId="43" borderId="5" xfId="0" applyNumberFormat="1" applyFont="1" applyFill="1" applyBorder="1" applyAlignment="1" applyProtection="1">
      <alignment horizontal="center" vertical="center"/>
      <protection locked="0"/>
    </xf>
    <xf numFmtId="0" fontId="27" fillId="5" borderId="4" xfId="0" applyFont="1" applyFill="1" applyBorder="1" applyAlignment="1" applyProtection="1">
      <alignment horizontal="left"/>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68" fontId="0" fillId="5" borderId="3" xfId="0" applyNumberFormat="1" applyFill="1" applyBorder="1" applyAlignment="1" applyProtection="1">
      <alignment horizontal="right"/>
      <protection locked="0"/>
    </xf>
    <xf numFmtId="0" fontId="26" fillId="5" borderId="3" xfId="0" applyFont="1" applyFill="1" applyBorder="1" applyAlignment="1" applyProtection="1">
      <alignment horizontal="center"/>
      <protection locked="0"/>
    </xf>
    <xf numFmtId="0" fontId="26" fillId="5" borderId="4" xfId="0" applyFont="1" applyFill="1" applyBorder="1" applyAlignment="1" applyProtection="1">
      <alignment horizontal="center"/>
      <protection locked="0"/>
    </xf>
    <xf numFmtId="0" fontId="26" fillId="5" borderId="5" xfId="0" applyFont="1" applyFill="1" applyBorder="1" applyAlignment="1" applyProtection="1">
      <alignment horizontal="center"/>
      <protection locked="0"/>
    </xf>
    <xf numFmtId="0" fontId="18" fillId="0" borderId="11" xfId="543" applyBorder="1" applyAlignment="1">
      <alignment horizontal="center"/>
    </xf>
    <xf numFmtId="0" fontId="18" fillId="5" borderId="4" xfId="0" applyFont="1" applyFill="1" applyBorder="1" applyAlignment="1" applyProtection="1">
      <alignment wrapText="1"/>
      <protection locked="0"/>
    </xf>
    <xf numFmtId="3" fontId="27" fillId="5" borderId="11" xfId="0" applyNumberFormat="1" applyFont="1" applyFill="1" applyBorder="1" applyAlignment="1" applyProtection="1">
      <alignment horizontal="center"/>
      <protection locked="0"/>
    </xf>
    <xf numFmtId="0" fontId="37" fillId="5" borderId="6" xfId="0" applyFont="1" applyFill="1" applyBorder="1" applyAlignment="1" applyProtection="1">
      <alignment horizontal="left"/>
      <protection locked="0"/>
    </xf>
    <xf numFmtId="0" fontId="18" fillId="0" borderId="3" xfId="0" applyFont="1" applyBorder="1" applyAlignment="1">
      <alignment horizontal="left"/>
    </xf>
    <xf numFmtId="0" fontId="18" fillId="0" borderId="4" xfId="0" applyFont="1" applyBorder="1" applyAlignment="1">
      <alignment horizontal="left"/>
    </xf>
    <xf numFmtId="0" fontId="18" fillId="0" borderId="5" xfId="0" applyFont="1" applyBorder="1" applyAlignment="1">
      <alignment horizontal="left"/>
    </xf>
    <xf numFmtId="0" fontId="0" fillId="0" borderId="6" xfId="0" applyBorder="1" applyAlignment="1" applyProtection="1">
      <alignment horizontal="center"/>
      <protection locked="0"/>
    </xf>
    <xf numFmtId="172"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1" fontId="27" fillId="5" borderId="11" xfId="0" quotePrefix="1" applyNumberFormat="1" applyFont="1" applyFill="1" applyBorder="1" applyAlignment="1" applyProtection="1">
      <alignment horizontal="center"/>
      <protection locked="0"/>
    </xf>
    <xf numFmtId="1" fontId="27" fillId="5" borderId="11" xfId="0" applyNumberFormat="1" applyFont="1" applyFill="1" applyBorder="1" applyAlignment="1" applyProtection="1">
      <alignment horizontal="center"/>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168" fontId="0" fillId="43" borderId="6" xfId="0" applyNumberFormat="1" applyFill="1" applyBorder="1" applyAlignment="1" applyProtection="1">
      <alignment horizontal="right"/>
      <protection locked="0"/>
    </xf>
    <xf numFmtId="1" fontId="27" fillId="5" borderId="6" xfId="0" applyNumberFormat="1" applyFont="1" applyFill="1" applyBorder="1" applyAlignment="1" applyProtection="1">
      <alignment horizontal="right"/>
      <protection locked="0"/>
    </xf>
    <xf numFmtId="0" fontId="27" fillId="5" borderId="6" xfId="0" applyFont="1" applyFill="1" applyBorder="1" applyAlignment="1" applyProtection="1">
      <alignment horizontal="left"/>
      <protection locked="0"/>
    </xf>
    <xf numFmtId="0" fontId="18" fillId="5" borderId="4" xfId="0" applyFont="1" applyFill="1" applyBorder="1" applyAlignment="1" applyProtection="1">
      <alignment horizontal="left"/>
      <protection locked="0"/>
    </xf>
    <xf numFmtId="0" fontId="27" fillId="0" borderId="0" xfId="0" applyFont="1" applyAlignment="1">
      <alignment horizontal="left" vertical="top" wrapText="1"/>
    </xf>
    <xf numFmtId="1" fontId="0" fillId="5" borderId="6" xfId="0" applyNumberFormat="1" applyFill="1" applyBorder="1" applyAlignment="1" applyProtection="1">
      <alignment horizontal="center"/>
      <protection locked="0"/>
    </xf>
    <xf numFmtId="3" fontId="0" fillId="0" borderId="6" xfId="0" applyNumberFormat="1" applyBorder="1" applyAlignment="1">
      <alignment horizontal="right"/>
    </xf>
    <xf numFmtId="0" fontId="18" fillId="43" borderId="4" xfId="0" applyFont="1" applyFill="1" applyBorder="1" applyAlignment="1" applyProtection="1">
      <alignment horizontal="left" wrapText="1"/>
      <protection locked="0"/>
    </xf>
    <xf numFmtId="168" fontId="0" fillId="5" borderId="6" xfId="0" applyNumberFormat="1" applyFill="1" applyBorder="1" applyAlignment="1" applyProtection="1">
      <alignment horizontal="right"/>
      <protection locked="0"/>
    </xf>
    <xf numFmtId="0" fontId="27" fillId="5" borderId="0" xfId="0" applyFont="1" applyFill="1" applyAlignment="1" applyProtection="1">
      <alignment horizontal="left" vertical="top" wrapText="1"/>
      <protection locked="0"/>
    </xf>
    <xf numFmtId="0" fontId="27" fillId="5" borderId="6" xfId="0" applyFont="1" applyFill="1" applyBorder="1" applyAlignment="1" applyProtection="1">
      <alignment horizontal="left" vertical="top" wrapText="1"/>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166" fontId="18" fillId="5" borderId="6" xfId="0" applyNumberFormat="1" applyFont="1" applyFill="1" applyBorder="1" applyAlignment="1" applyProtection="1">
      <alignment horizontal="left"/>
      <protection locked="0"/>
    </xf>
    <xf numFmtId="166" fontId="27" fillId="5" borderId="6" xfId="0" applyNumberFormat="1" applyFont="1" applyFill="1" applyBorder="1" applyAlignment="1" applyProtection="1">
      <alignment horizontal="left"/>
      <protection locked="0"/>
    </xf>
    <xf numFmtId="0" fontId="18" fillId="5" borderId="6" xfId="244" applyFont="1" applyFill="1" applyBorder="1" applyAlignment="1" applyProtection="1">
      <alignment horizontal="left"/>
      <protection locked="0"/>
    </xf>
    <xf numFmtId="0" fontId="0" fillId="5" borderId="6" xfId="0" applyFill="1" applyBorder="1" applyProtection="1">
      <protection locked="0"/>
    </xf>
    <xf numFmtId="0" fontId="27" fillId="0" borderId="4" xfId="0" applyFont="1" applyBorder="1" applyAlignment="1" applyProtection="1">
      <alignment horizontal="left"/>
      <protection locked="0"/>
    </xf>
    <xf numFmtId="0" fontId="18" fillId="43" borderId="6" xfId="0" applyFont="1" applyFill="1" applyBorder="1" applyAlignment="1" applyProtection="1">
      <alignment vertical="center"/>
      <protection locked="0"/>
    </xf>
    <xf numFmtId="0" fontId="24" fillId="3" borderId="0" xfId="0" applyFont="1" applyFill="1" applyAlignment="1">
      <alignment horizontal="center" vertical="center"/>
    </xf>
    <xf numFmtId="0" fontId="18" fillId="0" borderId="0" xfId="0" applyFont="1" applyAlignment="1">
      <alignment wrapText="1"/>
    </xf>
    <xf numFmtId="0" fontId="27" fillId="43" borderId="6" xfId="0" applyFont="1" applyFill="1" applyBorder="1" applyAlignment="1" applyProtection="1">
      <alignment horizontal="left"/>
      <protection locked="0"/>
    </xf>
    <xf numFmtId="0" fontId="18" fillId="0" borderId="6" xfId="0" applyFont="1" applyBorder="1" applyAlignment="1">
      <alignment horizontal="left"/>
    </xf>
    <xf numFmtId="0" fontId="18" fillId="0" borderId="6" xfId="0" applyFont="1" applyBorder="1" applyAlignment="1" applyProtection="1">
      <alignment horizontal="center"/>
      <protection locked="0"/>
    </xf>
    <xf numFmtId="166" fontId="0" fillId="5" borderId="6" xfId="0"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14" fontId="0" fillId="5" borderId="6" xfId="0" applyNumberFormat="1" applyFill="1" applyBorder="1" applyAlignment="1" applyProtection="1">
      <alignment horizontal="center"/>
      <protection locked="0"/>
    </xf>
    <xf numFmtId="0" fontId="18" fillId="5" borderId="0" xfId="244" applyFont="1" applyFill="1" applyBorder="1" applyAlignment="1" applyProtection="1">
      <alignment horizontal="left"/>
      <protection locked="0"/>
    </xf>
    <xf numFmtId="0" fontId="27" fillId="5" borderId="6" xfId="0" applyFont="1" applyFill="1" applyBorder="1" applyAlignment="1" applyProtection="1">
      <alignment horizontal="left" wrapText="1"/>
      <protection locked="0"/>
    </xf>
    <xf numFmtId="166" fontId="18" fillId="5" borderId="6" xfId="271" applyNumberFormat="1" applyFont="1" applyFill="1" applyBorder="1" applyAlignment="1" applyProtection="1">
      <alignment horizontal="left"/>
      <protection locked="0"/>
    </xf>
    <xf numFmtId="166" fontId="27" fillId="5" borderId="6" xfId="271" applyNumberFormat="1" applyFill="1" applyBorder="1" applyAlignment="1" applyProtection="1">
      <alignment horizontal="left"/>
      <protection locked="0"/>
    </xf>
    <xf numFmtId="0" fontId="18" fillId="0" borderId="0" xfId="0" applyFont="1" applyAlignment="1" applyProtection="1">
      <alignment horizontal="left"/>
      <protection locked="0"/>
    </xf>
    <xf numFmtId="9" fontId="26" fillId="0" borderId="3" xfId="4494" applyFont="1" applyBorder="1" applyAlignment="1" applyProtection="1">
      <alignment horizontal="center"/>
    </xf>
    <xf numFmtId="9" fontId="26" fillId="0" borderId="5" xfId="4494" applyFont="1" applyBorder="1" applyAlignment="1" applyProtection="1">
      <alignment horizontal="center"/>
    </xf>
    <xf numFmtId="0" fontId="0" fillId="0" borderId="0" xfId="0" applyAlignment="1">
      <alignment wrapText="1"/>
    </xf>
    <xf numFmtId="0" fontId="26" fillId="43" borderId="6" xfId="0" applyFont="1" applyFill="1" applyBorder="1" applyAlignment="1" applyProtection="1">
      <alignment horizontal="left"/>
      <protection locked="0"/>
    </xf>
    <xf numFmtId="0" fontId="153" fillId="0" borderId="0" xfId="0" applyFont="1" applyAlignment="1" applyProtection="1">
      <alignment horizontal="left" vertical="top" wrapText="1"/>
      <protection locked="0"/>
    </xf>
    <xf numFmtId="0" fontId="18" fillId="0" borderId="6" xfId="0" applyFont="1" applyBorder="1" applyAlignment="1" applyProtection="1">
      <alignment horizontal="left"/>
      <protection locked="0"/>
    </xf>
    <xf numFmtId="0" fontId="19" fillId="0" borderId="0" xfId="244" applyFill="1" applyAlignment="1" applyProtection="1">
      <alignment horizontal="left"/>
      <protection locked="0"/>
    </xf>
    <xf numFmtId="168" fontId="18" fillId="0" borderId="6" xfId="0" applyNumberFormat="1" applyFont="1" applyBorder="1" applyAlignment="1">
      <alignment horizontal="center"/>
    </xf>
    <xf numFmtId="168" fontId="0" fillId="0" borderId="6" xfId="0" applyNumberFormat="1" applyBorder="1" applyAlignment="1">
      <alignment horizontal="center"/>
    </xf>
    <xf numFmtId="1" fontId="0" fillId="5" borderId="4" xfId="0" applyNumberFormat="1" applyFill="1" applyBorder="1" applyAlignment="1" applyProtection="1">
      <alignment horizontal="center"/>
      <protection locked="0"/>
    </xf>
    <xf numFmtId="0" fontId="18" fillId="0" borderId="0" xfId="0" applyFont="1" applyAlignment="1">
      <alignment horizontal="left" vertical="top" wrapText="1"/>
    </xf>
    <xf numFmtId="0" fontId="18" fillId="5" borderId="0" xfId="0" applyFont="1" applyFill="1" applyAlignment="1" applyProtection="1">
      <alignment horizontal="left" vertical="top" wrapText="1"/>
      <protection locked="0"/>
    </xf>
    <xf numFmtId="0" fontId="18" fillId="5" borderId="6" xfId="0" applyFont="1" applyFill="1" applyBorder="1" applyAlignment="1" applyProtection="1">
      <alignment horizontal="left" wrapText="1"/>
      <protection locked="0"/>
    </xf>
    <xf numFmtId="0" fontId="0" fillId="0" borderId="0" xfId="0" applyAlignment="1">
      <alignment vertical="top" wrapText="1"/>
    </xf>
    <xf numFmtId="0" fontId="18" fillId="0" borderId="0" xfId="271" applyFont="1" applyAlignment="1">
      <alignment horizontal="left" vertical="top" wrapText="1"/>
    </xf>
    <xf numFmtId="174" fontId="0" fillId="5" borderId="4" xfId="0" applyNumberFormat="1" applyFill="1" applyBorder="1" applyAlignment="1" applyProtection="1">
      <alignment horizontal="left"/>
      <protection locked="0"/>
    </xf>
    <xf numFmtId="0" fontId="27"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27" fillId="0" borderId="6" xfId="0" applyFont="1" applyBorder="1" applyAlignment="1">
      <alignment horizontal="left"/>
    </xf>
    <xf numFmtId="166" fontId="27" fillId="5" borderId="4" xfId="271" applyNumberFormat="1" applyFill="1" applyBorder="1" applyAlignment="1" applyProtection="1">
      <alignment horizontal="left"/>
      <protection locked="0"/>
    </xf>
    <xf numFmtId="10" fontId="27" fillId="5" borderId="4" xfId="0" applyNumberFormat="1" applyFont="1" applyFill="1" applyBorder="1" applyAlignment="1" applyProtection="1">
      <alignment horizontal="right"/>
      <protection locked="0"/>
    </xf>
    <xf numFmtId="0" fontId="26"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2" fontId="0" fillId="0" borderId="6" xfId="0" applyNumberFormat="1" applyBorder="1" applyAlignment="1">
      <alignment horizontal="center"/>
    </xf>
    <xf numFmtId="0" fontId="25" fillId="0" borderId="9" xfId="0" applyFont="1" applyBorder="1" applyAlignment="1">
      <alignment horizontal="center"/>
    </xf>
    <xf numFmtId="0" fontId="18" fillId="0" borderId="3" xfId="271" applyFont="1" applyBorder="1" applyAlignment="1">
      <alignment horizontal="left"/>
    </xf>
    <xf numFmtId="0" fontId="18" fillId="0" borderId="4" xfId="271" applyFont="1" applyBorder="1" applyAlignment="1">
      <alignment horizontal="left"/>
    </xf>
    <xf numFmtId="0" fontId="18" fillId="0" borderId="5" xfId="271" applyFont="1" applyBorder="1" applyAlignment="1">
      <alignment horizontal="left"/>
    </xf>
    <xf numFmtId="0" fontId="18" fillId="0" borderId="0" xfId="0" applyFont="1" applyAlignment="1">
      <alignment horizontal="left" wrapText="1"/>
    </xf>
    <xf numFmtId="168" fontId="54" fillId="0" borderId="2" xfId="0" applyNumberFormat="1" applyFont="1" applyBorder="1" applyAlignment="1">
      <alignment horizontal="left" vertical="top" wrapText="1"/>
    </xf>
    <xf numFmtId="168" fontId="54" fillId="0" borderId="0" xfId="0" applyNumberFormat="1" applyFont="1" applyAlignment="1">
      <alignment horizontal="left" vertical="top" wrapText="1"/>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0" fillId="0" borderId="6" xfId="0" applyBorder="1" applyAlignment="1">
      <alignment horizontal="center"/>
    </xf>
    <xf numFmtId="0" fontId="0" fillId="0" borderId="10" xfId="0" applyBorder="1" applyAlignment="1">
      <alignment horizontal="center"/>
    </xf>
    <xf numFmtId="178" fontId="27" fillId="5" borderId="4" xfId="0" applyNumberFormat="1" applyFont="1" applyFill="1" applyBorder="1" applyAlignment="1" applyProtection="1">
      <alignment horizontal="right"/>
      <protection locked="0"/>
    </xf>
    <xf numFmtId="0" fontId="0" fillId="43" borderId="4" xfId="0" applyFill="1" applyBorder="1" applyAlignment="1" applyProtection="1">
      <alignment horizont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8" fillId="5" borderId="11" xfId="0" applyFont="1" applyFill="1" applyBorder="1" applyAlignment="1" applyProtection="1">
      <alignment horizontal="left" wrapText="1"/>
      <protection locked="0"/>
    </xf>
    <xf numFmtId="1" fontId="27" fillId="5" borderId="3" xfId="0" applyNumberFormat="1" applyFont="1" applyFill="1" applyBorder="1" applyAlignment="1" applyProtection="1">
      <alignment horizontal="center"/>
      <protection locked="0"/>
    </xf>
    <xf numFmtId="1" fontId="27" fillId="5" borderId="4" xfId="0" applyNumberFormat="1" applyFont="1" applyFill="1" applyBorder="1" applyAlignment="1" applyProtection="1">
      <alignment horizontal="center"/>
      <protection locked="0"/>
    </xf>
    <xf numFmtId="1" fontId="27" fillId="5" borderId="5" xfId="0" applyNumberFormat="1" applyFont="1" applyFill="1" applyBorder="1" applyAlignment="1" applyProtection="1">
      <alignment horizontal="center"/>
      <protection locked="0"/>
    </xf>
    <xf numFmtId="0" fontId="27" fillId="5" borderId="4" xfId="0" applyFont="1" applyFill="1" applyBorder="1" applyAlignment="1" applyProtection="1">
      <alignment wrapText="1"/>
      <protection locked="0"/>
    </xf>
    <xf numFmtId="1" fontId="0" fillId="5" borderId="3"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27" fillId="0" borderId="1" xfId="0" applyFont="1" applyBorder="1" applyAlignment="1">
      <alignment horizontal="center" vertical="top" wrapText="1"/>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0" fontId="25" fillId="0" borderId="11" xfId="0" applyFont="1" applyBorder="1" applyAlignment="1">
      <alignment horizontal="center"/>
    </xf>
    <xf numFmtId="0" fontId="0" fillId="0" borderId="9" xfId="0" applyBorder="1" applyAlignment="1">
      <alignment horizontal="left"/>
    </xf>
    <xf numFmtId="168" fontId="0" fillId="0" borderId="11" xfId="0" applyNumberFormat="1" applyBorder="1" applyAlignment="1">
      <alignment horizontal="right"/>
    </xf>
    <xf numFmtId="0" fontId="18"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64" fontId="26" fillId="5" borderId="3" xfId="0" applyNumberFormat="1" applyFont="1" applyFill="1" applyBorder="1" applyAlignment="1" applyProtection="1">
      <alignment horizontal="left"/>
      <protection locked="0"/>
    </xf>
    <xf numFmtId="164" fontId="26" fillId="5" borderId="4" xfId="0" applyNumberFormat="1" applyFont="1" applyFill="1" applyBorder="1" applyAlignment="1" applyProtection="1">
      <alignment horizontal="left"/>
      <protection locked="0"/>
    </xf>
    <xf numFmtId="164" fontId="26" fillId="5" borderId="5" xfId="0" applyNumberFormat="1" applyFont="1" applyFill="1" applyBorder="1" applyAlignment="1" applyProtection="1">
      <alignment horizontal="left"/>
      <protection locked="0"/>
    </xf>
    <xf numFmtId="168" fontId="156" fillId="0" borderId="0" xfId="0" applyNumberFormat="1" applyFont="1" applyAlignment="1">
      <alignment horizontal="center" vertical="center" wrapText="1"/>
    </xf>
    <xf numFmtId="0" fontId="27" fillId="0" borderId="11" xfId="0" applyFont="1" applyBorder="1" applyAlignment="1">
      <alignment horizontal="center" vertical="top" wrapText="1"/>
    </xf>
    <xf numFmtId="0" fontId="25" fillId="5" borderId="11" xfId="0" applyFont="1" applyFill="1" applyBorder="1" applyAlignment="1" applyProtection="1">
      <alignment horizontal="center"/>
      <protection locked="0"/>
    </xf>
    <xf numFmtId="165" fontId="25" fillId="0" borderId="3" xfId="271" applyNumberFormat="1" applyFont="1" applyBorder="1" applyAlignment="1">
      <alignment horizontal="center"/>
    </xf>
    <xf numFmtId="165" fontId="25" fillId="0" borderId="4" xfId="271" applyNumberFormat="1" applyFont="1" applyBorder="1" applyAlignment="1">
      <alignment horizontal="center"/>
    </xf>
    <xf numFmtId="165" fontId="25" fillId="0" borderId="5" xfId="271" applyNumberFormat="1" applyFont="1" applyBorder="1" applyAlignment="1">
      <alignment horizontal="center"/>
    </xf>
    <xf numFmtId="0" fontId="27" fillId="0" borderId="11" xfId="0" applyFont="1" applyBorder="1" applyAlignment="1">
      <alignment horizontal="center"/>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3" fontId="0" fillId="5" borderId="3" xfId="0" applyNumberFormat="1" applyFill="1" applyBorder="1" applyAlignment="1" applyProtection="1">
      <alignment horizontal="right"/>
      <protection locked="0"/>
    </xf>
    <xf numFmtId="0" fontId="18" fillId="0" borderId="3" xfId="0" applyFont="1" applyBorder="1"/>
    <xf numFmtId="0" fontId="18" fillId="0" borderId="4" xfId="0" applyFont="1" applyBorder="1"/>
    <xf numFmtId="0" fontId="18" fillId="0" borderId="5" xfId="0" applyFont="1" applyBorder="1"/>
    <xf numFmtId="0" fontId="0" fillId="5" borderId="3" xfId="0"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25" fillId="0" borderId="2" xfId="0" applyFont="1" applyBorder="1" applyAlignment="1">
      <alignment horizontal="right"/>
    </xf>
    <xf numFmtId="0" fontId="25" fillId="0" borderId="7" xfId="0" applyFont="1" applyBorder="1" applyAlignment="1">
      <alignment horizontal="right"/>
    </xf>
    <xf numFmtId="9" fontId="18" fillId="0" borderId="0" xfId="543" applyNumberFormat="1" applyAlignment="1">
      <alignment horizontal="center" vertical="center"/>
    </xf>
    <xf numFmtId="0" fontId="25" fillId="0" borderId="1" xfId="0" applyFont="1" applyBorder="1" applyAlignment="1">
      <alignment horizontal="center"/>
    </xf>
    <xf numFmtId="0" fontId="25" fillId="0" borderId="2" xfId="0" applyFont="1" applyBorder="1" applyAlignment="1">
      <alignment horizontal="center"/>
    </xf>
    <xf numFmtId="0" fontId="25" fillId="0" borderId="7" xfId="0" applyFont="1" applyBorder="1" applyAlignment="1">
      <alignment horizontal="center"/>
    </xf>
    <xf numFmtId="168" fontId="0" fillId="5" borderId="11" xfId="0" applyNumberFormat="1" applyFill="1" applyBorder="1" applyAlignment="1" applyProtection="1">
      <alignment horizontal="right"/>
      <protection locked="0"/>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0" fontId="0" fillId="0" borderId="3" xfId="0" applyBorder="1"/>
    <xf numFmtId="0" fontId="0" fillId="0" borderId="4" xfId="0" applyBorder="1"/>
    <xf numFmtId="0" fontId="0" fillId="0" borderId="5" xfId="0" applyBorder="1"/>
    <xf numFmtId="2" fontId="18" fillId="0" borderId="0" xfId="543" applyNumberFormat="1" applyAlignment="1">
      <alignment horizontal="center"/>
    </xf>
    <xf numFmtId="0" fontId="18" fillId="0" borderId="0" xfId="543" applyAlignment="1">
      <alignment horizontal="center"/>
    </xf>
    <xf numFmtId="171" fontId="18" fillId="0" borderId="0" xfId="543" applyNumberFormat="1" applyAlignment="1">
      <alignment horizontal="center"/>
    </xf>
    <xf numFmtId="171" fontId="18" fillId="0" borderId="0" xfId="543" applyNumberFormat="1" applyAlignment="1">
      <alignment horizontal="right"/>
    </xf>
    <xf numFmtId="0" fontId="25" fillId="0" borderId="0" xfId="0" applyFont="1" applyAlignment="1">
      <alignment horizontal="center" vertic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168" fontId="0" fillId="5" borderId="11" xfId="0" applyNumberFormat="1" applyFill="1" applyBorder="1" applyProtection="1">
      <protection locked="0"/>
    </xf>
    <xf numFmtId="168" fontId="0" fillId="0" borderId="11" xfId="0" applyNumberFormat="1" applyBorder="1"/>
    <xf numFmtId="0" fontId="18" fillId="5" borderId="3" xfId="0" applyFont="1" applyFill="1" applyBorder="1" applyProtection="1">
      <protection locked="0"/>
    </xf>
    <xf numFmtId="0" fontId="27" fillId="0" borderId="4" xfId="0" applyFont="1" applyBorder="1" applyProtection="1">
      <protection locked="0"/>
    </xf>
    <xf numFmtId="0" fontId="27" fillId="0" borderId="5" xfId="0" applyFont="1" applyBorder="1" applyProtection="1">
      <protection locked="0"/>
    </xf>
    <xf numFmtId="14" fontId="0" fillId="5" borderId="3" xfId="0" quotePrefix="1"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3" fontId="0" fillId="0" borderId="4" xfId="0" applyNumberFormat="1" applyBorder="1" applyAlignment="1">
      <alignment horizontal="right"/>
    </xf>
    <xf numFmtId="3" fontId="0" fillId="0" borderId="5" xfId="0" applyNumberFormat="1" applyBorder="1" applyAlignment="1">
      <alignment horizontal="right"/>
    </xf>
    <xf numFmtId="168" fontId="18" fillId="5" borderId="10" xfId="0" applyNumberFormat="1" applyFont="1" applyFill="1" applyBorder="1" applyAlignment="1" applyProtection="1">
      <alignment horizontal="right"/>
      <protection locked="0"/>
    </xf>
    <xf numFmtId="168" fontId="18" fillId="5" borderId="13" xfId="0" applyNumberFormat="1" applyFont="1" applyFill="1" applyBorder="1" applyAlignment="1" applyProtection="1">
      <alignment horizontal="right"/>
      <protection locked="0"/>
    </xf>
    <xf numFmtId="14" fontId="0" fillId="5" borderId="4" xfId="0" applyNumberFormat="1" applyFill="1" applyBorder="1" applyAlignment="1" applyProtection="1">
      <alignment horizontal="center"/>
      <protection locked="0"/>
    </xf>
    <xf numFmtId="172" fontId="25" fillId="0" borderId="11" xfId="0" applyNumberFormat="1" applyFont="1" applyBorder="1" applyAlignment="1">
      <alignment horizontal="center" vertical="center" wrapText="1"/>
    </xf>
    <xf numFmtId="0" fontId="34" fillId="0" borderId="1" xfId="0" applyFont="1" applyBorder="1" applyAlignment="1">
      <alignment horizontal="center" vertical="center" wrapText="1"/>
    </xf>
    <xf numFmtId="0" fontId="34" fillId="0" borderId="2" xfId="0" applyFont="1" applyBorder="1" applyAlignment="1">
      <alignment horizontal="center" vertical="center" wrapText="1"/>
    </xf>
    <xf numFmtId="0" fontId="34" fillId="0" borderId="7" xfId="0" applyFont="1" applyBorder="1" applyAlignment="1">
      <alignment horizontal="center" vertical="center" wrapText="1"/>
    </xf>
    <xf numFmtId="0" fontId="34" fillId="0" borderId="8" xfId="0" applyFont="1" applyBorder="1" applyAlignment="1">
      <alignment horizontal="center" vertical="center" wrapText="1"/>
    </xf>
    <xf numFmtId="0" fontId="34" fillId="0" borderId="0" xfId="0" applyFont="1" applyAlignment="1">
      <alignment horizontal="center" vertical="center" wrapText="1"/>
    </xf>
    <xf numFmtId="0" fontId="34" fillId="0" borderId="12" xfId="0" applyFont="1" applyBorder="1" applyAlignment="1">
      <alignment horizontal="center" vertical="center" wrapText="1"/>
    </xf>
    <xf numFmtId="0" fontId="34" fillId="0" borderId="9" xfId="0" applyFont="1" applyBorder="1" applyAlignment="1">
      <alignment horizontal="center" vertical="center" wrapText="1"/>
    </xf>
    <xf numFmtId="0" fontId="34" fillId="0" borderId="6" xfId="0" applyFont="1" applyBorder="1" applyAlignment="1">
      <alignment horizontal="center" vertical="center" wrapText="1"/>
    </xf>
    <xf numFmtId="0" fontId="34" fillId="0" borderId="10" xfId="0" applyFont="1" applyBorder="1" applyAlignment="1">
      <alignment horizontal="center" vertical="center" wrapText="1"/>
    </xf>
    <xf numFmtId="0" fontId="25" fillId="0" borderId="11" xfId="0" applyFont="1" applyBorder="1" applyAlignment="1">
      <alignment horizontal="center" vertical="center" wrapText="1"/>
    </xf>
    <xf numFmtId="0" fontId="25" fillId="0" borderId="9" xfId="0" applyFont="1" applyBorder="1" applyAlignment="1">
      <alignment horizontal="right"/>
    </xf>
    <xf numFmtId="0" fontId="25" fillId="0" borderId="10" xfId="0" applyFont="1" applyBorder="1" applyAlignment="1">
      <alignment horizontal="right"/>
    </xf>
    <xf numFmtId="0" fontId="24" fillId="3" borderId="0" xfId="0" applyFont="1" applyFill="1" applyAlignment="1">
      <alignment horizontal="center" vertical="center" wrapText="1"/>
    </xf>
    <xf numFmtId="0" fontId="18" fillId="0" borderId="3" xfId="543" applyBorder="1" applyAlignment="1">
      <alignment horizontal="center"/>
    </xf>
    <xf numFmtId="0" fontId="18" fillId="0" borderId="4" xfId="543" applyBorder="1" applyAlignment="1">
      <alignment horizontal="center"/>
    </xf>
    <xf numFmtId="0" fontId="18" fillId="0" borderId="5" xfId="543" applyBorder="1" applyAlignment="1">
      <alignment horizontal="center"/>
    </xf>
    <xf numFmtId="0" fontId="37" fillId="5" borderId="3" xfId="543" applyFont="1" applyFill="1" applyBorder="1" applyAlignment="1">
      <alignment horizontal="center"/>
    </xf>
    <xf numFmtId="0" fontId="37" fillId="5" borderId="4" xfId="543" applyFont="1" applyFill="1" applyBorder="1" applyAlignment="1">
      <alignment horizontal="center"/>
    </xf>
    <xf numFmtId="0" fontId="37" fillId="5" borderId="5" xfId="543" applyFont="1" applyFill="1" applyBorder="1" applyAlignment="1">
      <alignment horizontal="center"/>
    </xf>
    <xf numFmtId="49" fontId="18" fillId="5" borderId="3" xfId="543" applyNumberFormat="1" applyFill="1" applyBorder="1" applyAlignment="1">
      <alignment horizontal="center"/>
    </xf>
    <xf numFmtId="49" fontId="18" fillId="5" borderId="5" xfId="543" applyNumberFormat="1" applyFill="1" applyBorder="1" applyAlignment="1">
      <alignment horizontal="center"/>
    </xf>
    <xf numFmtId="168" fontId="0" fillId="0" borderId="11" xfId="0" applyNumberFormat="1" applyBorder="1" applyAlignment="1">
      <alignment horizontal="center"/>
    </xf>
    <xf numFmtId="0" fontId="27" fillId="0" borderId="3" xfId="0" applyFont="1" applyBorder="1" applyAlignment="1">
      <alignment horizontal="left"/>
    </xf>
    <xf numFmtId="164" fontId="37" fillId="5" borderId="3" xfId="0" applyNumberFormat="1" applyFont="1" applyFill="1" applyBorder="1" applyAlignment="1" applyProtection="1">
      <alignment horizontal="left"/>
      <protection locked="0"/>
    </xf>
    <xf numFmtId="164" fontId="37" fillId="5" borderId="4" xfId="0" applyNumberFormat="1" applyFont="1" applyFill="1" applyBorder="1" applyAlignment="1" applyProtection="1">
      <alignment horizontal="left"/>
      <protection locked="0"/>
    </xf>
    <xf numFmtId="164" fontId="37" fillId="5" borderId="5" xfId="0" applyNumberFormat="1" applyFont="1" applyFill="1" applyBorder="1" applyAlignment="1" applyProtection="1">
      <alignment horizontal="left"/>
      <protection locked="0"/>
    </xf>
    <xf numFmtId="168" fontId="18" fillId="5" borderId="3" xfId="0" applyNumberFormat="1" applyFont="1" applyFill="1" applyBorder="1" applyAlignment="1" applyProtection="1">
      <alignment horizontal="right"/>
      <protection locked="0"/>
    </xf>
    <xf numFmtId="168" fontId="18" fillId="5" borderId="4" xfId="0" applyNumberFormat="1" applyFont="1" applyFill="1" applyBorder="1" applyAlignment="1" applyProtection="1">
      <alignment horizontal="right"/>
      <protection locked="0"/>
    </xf>
    <xf numFmtId="168" fontId="18" fillId="5" borderId="5" xfId="0" applyNumberFormat="1" applyFon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0" fontId="25" fillId="5" borderId="3" xfId="0" applyFont="1" applyFill="1" applyBorder="1" applyAlignment="1" applyProtection="1">
      <alignment horizontal="right"/>
      <protection locked="0"/>
    </xf>
    <xf numFmtId="0" fontId="25" fillId="5" borderId="4" xfId="0" applyFont="1" applyFill="1" applyBorder="1" applyAlignment="1" applyProtection="1">
      <alignment horizontal="right"/>
      <protection locked="0"/>
    </xf>
    <xf numFmtId="0" fontId="25" fillId="5" borderId="5" xfId="0" applyFont="1" applyFill="1" applyBorder="1" applyAlignment="1" applyProtection="1">
      <alignment horizontal="right"/>
      <protection locked="0"/>
    </xf>
    <xf numFmtId="0" fontId="25" fillId="0" borderId="2" xfId="0" applyFont="1" applyBorder="1" applyAlignment="1">
      <alignment horizontal="center" wrapText="1"/>
    </xf>
    <xf numFmtId="0" fontId="25" fillId="0" borderId="7" xfId="0" applyFont="1" applyBorder="1" applyAlignment="1">
      <alignment horizontal="center" wrapText="1"/>
    </xf>
    <xf numFmtId="0" fontId="25" fillId="0" borderId="6" xfId="0" applyFont="1" applyBorder="1" applyAlignment="1">
      <alignment horizontal="center" wrapText="1"/>
    </xf>
    <xf numFmtId="0" fontId="25" fillId="0" borderId="10" xfId="0" applyFont="1" applyBorder="1" applyAlignment="1">
      <alignment horizontal="center" wrapText="1"/>
    </xf>
    <xf numFmtId="168" fontId="18" fillId="10" borderId="3" xfId="543" applyNumberFormat="1" applyFill="1" applyBorder="1" applyAlignment="1">
      <alignment horizontal="center"/>
    </xf>
    <xf numFmtId="168" fontId="18" fillId="10" borderId="4" xfId="543" applyNumberFormat="1" applyFill="1" applyBorder="1" applyAlignment="1">
      <alignment horizontal="center"/>
    </xf>
    <xf numFmtId="168" fontId="18" fillId="10" borderId="5" xfId="543" applyNumberFormat="1" applyFill="1" applyBorder="1" applyAlignment="1">
      <alignment horizontal="center"/>
    </xf>
    <xf numFmtId="9" fontId="18"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18" fillId="5" borderId="3" xfId="0" applyNumberFormat="1" applyFont="1" applyFill="1" applyBorder="1" applyAlignment="1" applyProtection="1">
      <alignment horizontal="left"/>
      <protection locked="0"/>
    </xf>
    <xf numFmtId="168" fontId="18" fillId="5" borderId="4" xfId="0" applyNumberFormat="1" applyFont="1" applyFill="1" applyBorder="1" applyAlignment="1" applyProtection="1">
      <alignment horizontal="left"/>
      <protection locked="0"/>
    </xf>
    <xf numFmtId="168" fontId="18" fillId="5" borderId="5" xfId="0" applyNumberFormat="1" applyFont="1" applyFill="1" applyBorder="1" applyAlignment="1" applyProtection="1">
      <alignment horizontal="left"/>
      <protection locked="0"/>
    </xf>
    <xf numFmtId="1" fontId="18" fillId="0" borderId="3" xfId="0" applyNumberFormat="1" applyFont="1" applyBorder="1" applyAlignment="1">
      <alignment horizontal="center"/>
    </xf>
    <xf numFmtId="1" fontId="27" fillId="0" borderId="4" xfId="0" applyNumberFormat="1" applyFont="1" applyBorder="1" applyAlignment="1">
      <alignment horizontal="center"/>
    </xf>
    <xf numFmtId="1" fontId="27" fillId="0" borderId="5" xfId="0" applyNumberFormat="1" applyFont="1" applyBorder="1" applyAlignment="1">
      <alignment horizontal="center"/>
    </xf>
    <xf numFmtId="0" fontId="27" fillId="5" borderId="6" xfId="271" applyFill="1"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18" fillId="5" borderId="5" xfId="0" applyFont="1" applyFill="1" applyBorder="1" applyAlignment="1" applyProtection="1">
      <alignment horizontal="left"/>
      <protection locked="0"/>
    </xf>
    <xf numFmtId="0" fontId="25" fillId="0" borderId="8" xfId="543" applyFont="1" applyBorder="1" applyAlignment="1">
      <alignment horizontal="left" vertical="center" wrapText="1"/>
    </xf>
    <xf numFmtId="0" fontId="25" fillId="0" borderId="0" xfId="543" applyFont="1" applyAlignment="1">
      <alignment horizontal="left" vertical="center" wrapText="1"/>
    </xf>
    <xf numFmtId="0" fontId="25" fillId="0" borderId="12" xfId="543" applyFont="1" applyBorder="1" applyAlignment="1">
      <alignment horizontal="left" vertical="center" wrapText="1"/>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0" fontId="25" fillId="0" borderId="8" xfId="0" applyFont="1" applyBorder="1" applyAlignment="1">
      <alignment horizontal="center" wrapText="1"/>
    </xf>
    <xf numFmtId="0" fontId="25" fillId="0" borderId="0" xfId="0" applyFont="1" applyAlignment="1">
      <alignment horizontal="center" wrapText="1"/>
    </xf>
    <xf numFmtId="0" fontId="25" fillId="0" borderId="12" xfId="0" applyFont="1" applyBorder="1" applyAlignment="1">
      <alignment horizontal="center" wrapText="1"/>
    </xf>
    <xf numFmtId="0" fontId="25" fillId="0" borderId="9" xfId="0" applyFont="1" applyBorder="1" applyAlignment="1">
      <alignment horizontal="center" wrapText="1"/>
    </xf>
    <xf numFmtId="1" fontId="18" fillId="0" borderId="3" xfId="543" applyNumberFormat="1" applyBorder="1" applyAlignment="1">
      <alignment horizontal="center"/>
    </xf>
    <xf numFmtId="1" fontId="18" fillId="0" borderId="4" xfId="543" applyNumberFormat="1" applyBorder="1" applyAlignment="1">
      <alignment horizontal="center"/>
    </xf>
    <xf numFmtId="1" fontId="18" fillId="0" borderId="5" xfId="543" applyNumberFormat="1" applyBorder="1" applyAlignment="1">
      <alignment horizontal="center"/>
    </xf>
    <xf numFmtId="168" fontId="18" fillId="0" borderId="11" xfId="543" applyNumberFormat="1" applyBorder="1" applyAlignment="1">
      <alignment horizontal="center"/>
    </xf>
    <xf numFmtId="0" fontId="54" fillId="5" borderId="3" xfId="0" applyFont="1" applyFill="1" applyBorder="1" applyAlignment="1" applyProtection="1">
      <alignment horizontal="right"/>
      <protection locked="0"/>
    </xf>
    <xf numFmtId="0" fontId="54" fillId="5" borderId="4" xfId="0" applyFont="1" applyFill="1" applyBorder="1" applyAlignment="1" applyProtection="1">
      <alignment horizontal="right"/>
      <protection locked="0"/>
    </xf>
    <xf numFmtId="0" fontId="54" fillId="5" borderId="5" xfId="0" applyFont="1" applyFill="1" applyBorder="1" applyAlignment="1" applyProtection="1">
      <alignment horizontal="right"/>
      <protection locked="0"/>
    </xf>
    <xf numFmtId="168" fontId="18" fillId="0" borderId="1" xfId="543" applyNumberFormat="1" applyBorder="1" applyAlignment="1">
      <alignment horizontal="center" vertical="center"/>
    </xf>
    <xf numFmtId="168" fontId="18" fillId="0" borderId="2" xfId="543" applyNumberFormat="1" applyBorder="1" applyAlignment="1">
      <alignment horizontal="center" vertical="center"/>
    </xf>
    <xf numFmtId="168" fontId="18" fillId="0" borderId="7" xfId="543" applyNumberFormat="1" applyBorder="1" applyAlignment="1">
      <alignment horizontal="center" vertical="center"/>
    </xf>
    <xf numFmtId="168" fontId="18" fillId="0" borderId="8" xfId="543" applyNumberFormat="1" applyBorder="1" applyAlignment="1">
      <alignment horizontal="center" vertical="center"/>
    </xf>
    <xf numFmtId="168" fontId="18" fillId="0" borderId="0" xfId="543" applyNumberFormat="1" applyAlignment="1">
      <alignment horizontal="center" vertical="center"/>
    </xf>
    <xf numFmtId="168" fontId="18" fillId="0" borderId="12" xfId="543" applyNumberFormat="1" applyBorder="1" applyAlignment="1">
      <alignment horizontal="center" vertical="center"/>
    </xf>
    <xf numFmtId="0" fontId="18" fillId="0" borderId="8" xfId="543" applyBorder="1" applyAlignment="1">
      <alignment horizontal="left" vertical="top" wrapText="1"/>
    </xf>
    <xf numFmtId="0" fontId="18" fillId="0" borderId="0" xfId="543" applyAlignment="1">
      <alignment horizontal="left" vertical="top" wrapText="1"/>
    </xf>
    <xf numFmtId="0" fontId="18" fillId="0" borderId="12" xfId="543" applyBorder="1" applyAlignment="1">
      <alignment horizontal="left" vertical="top" wrapText="1"/>
    </xf>
    <xf numFmtId="0" fontId="18" fillId="0" borderId="9" xfId="543" applyBorder="1" applyAlignment="1">
      <alignment horizontal="left" vertical="top" wrapText="1"/>
    </xf>
    <xf numFmtId="0" fontId="18" fillId="0" borderId="6" xfId="543" applyBorder="1" applyAlignment="1">
      <alignment horizontal="left" vertical="top" wrapText="1"/>
    </xf>
    <xf numFmtId="0" fontId="18" fillId="0" borderId="10" xfId="543" applyBorder="1" applyAlignment="1">
      <alignment horizontal="left" vertical="top" wrapText="1"/>
    </xf>
    <xf numFmtId="168" fontId="18" fillId="0" borderId="9" xfId="543" applyNumberFormat="1" applyBorder="1" applyAlignment="1">
      <alignment horizontal="center" vertical="center"/>
    </xf>
    <xf numFmtId="168" fontId="18" fillId="0" borderId="6" xfId="543" applyNumberFormat="1" applyBorder="1" applyAlignment="1">
      <alignment horizontal="center" vertical="center"/>
    </xf>
    <xf numFmtId="168" fontId="18" fillId="0" borderId="10" xfId="543" applyNumberFormat="1" applyBorder="1" applyAlignment="1">
      <alignment horizontal="center" vertical="center"/>
    </xf>
    <xf numFmtId="0" fontId="18" fillId="2" borderId="3" xfId="543" applyFill="1" applyBorder="1" applyAlignment="1">
      <alignment horizontal="center"/>
    </xf>
    <xf numFmtId="0" fontId="18" fillId="2" borderId="4" xfId="543" applyFill="1" applyBorder="1" applyAlignment="1">
      <alignment horizontal="center"/>
    </xf>
    <xf numFmtId="0" fontId="18" fillId="2" borderId="5" xfId="543" applyFill="1" applyBorder="1" applyAlignment="1">
      <alignment horizontal="center"/>
    </xf>
    <xf numFmtId="0" fontId="38" fillId="0" borderId="1" xfId="543" applyFont="1" applyBorder="1" applyAlignment="1">
      <alignment horizontal="right"/>
    </xf>
    <xf numFmtId="0" fontId="38" fillId="0" borderId="2" xfId="543" applyFont="1" applyBorder="1" applyAlignment="1">
      <alignment horizontal="right"/>
    </xf>
    <xf numFmtId="0" fontId="38" fillId="0" borderId="7" xfId="543" applyFont="1" applyBorder="1" applyAlignment="1">
      <alignment horizontal="right"/>
    </xf>
    <xf numFmtId="0" fontId="25" fillId="0" borderId="1" xfId="543" applyFont="1" applyBorder="1" applyAlignment="1">
      <alignment horizontal="left" vertical="center" wrapText="1"/>
    </xf>
    <xf numFmtId="0" fontId="25" fillId="0" borderId="2" xfId="543" applyFont="1" applyBorder="1" applyAlignment="1">
      <alignment horizontal="left" vertical="center" wrapText="1"/>
    </xf>
    <xf numFmtId="0" fontId="25" fillId="0" borderId="7" xfId="543" applyFont="1" applyBorder="1" applyAlignment="1">
      <alignment horizontal="left" vertical="center" wrapText="1"/>
    </xf>
    <xf numFmtId="0" fontId="25" fillId="0" borderId="3" xfId="543" applyFont="1" applyBorder="1" applyAlignment="1">
      <alignment horizontal="right"/>
    </xf>
    <xf numFmtId="0" fontId="25" fillId="0" borderId="4" xfId="543" applyFont="1" applyBorder="1" applyAlignment="1">
      <alignment horizontal="right"/>
    </xf>
    <xf numFmtId="0" fontId="25" fillId="0" borderId="5" xfId="543" applyFont="1" applyBorder="1" applyAlignment="1">
      <alignment horizontal="right"/>
    </xf>
    <xf numFmtId="0" fontId="37" fillId="5" borderId="3" xfId="543" applyFont="1" applyFill="1" applyBorder="1" applyAlignment="1" applyProtection="1">
      <alignment horizontal="center"/>
      <protection locked="0"/>
    </xf>
    <xf numFmtId="0" fontId="37" fillId="5" borderId="5" xfId="543" applyFont="1" applyFill="1" applyBorder="1" applyAlignment="1" applyProtection="1">
      <alignment horizontal="center"/>
      <protection locked="0"/>
    </xf>
    <xf numFmtId="0" fontId="18" fillId="0" borderId="8" xfId="0" applyFont="1" applyBorder="1" applyAlignment="1">
      <alignment horizontal="left" wrapText="1"/>
    </xf>
    <xf numFmtId="0" fontId="18" fillId="0" borderId="12" xfId="0" applyFont="1" applyBorder="1" applyAlignment="1">
      <alignment horizontal="left" wrapText="1"/>
    </xf>
    <xf numFmtId="0" fontId="18" fillId="0" borderId="9" xfId="0" applyFont="1" applyBorder="1" applyAlignment="1">
      <alignment horizontal="left" wrapText="1"/>
    </xf>
    <xf numFmtId="0" fontId="18" fillId="0" borderId="6" xfId="0" applyFont="1" applyBorder="1" applyAlignment="1">
      <alignment horizontal="left" wrapText="1"/>
    </xf>
    <xf numFmtId="0" fontId="18" fillId="0" borderId="10" xfId="0" applyFont="1" applyBorder="1" applyAlignment="1">
      <alignment horizontal="left" wrapText="1"/>
    </xf>
    <xf numFmtId="0" fontId="37" fillId="0" borderId="3" xfId="543" applyFont="1" applyBorder="1" applyAlignment="1">
      <alignment horizontal="center"/>
    </xf>
    <xf numFmtId="0" fontId="37" fillId="0" borderId="5" xfId="543" applyFont="1" applyBorder="1" applyAlignment="1">
      <alignment horizontal="center"/>
    </xf>
    <xf numFmtId="0" fontId="37" fillId="5" borderId="9" xfId="543" applyFont="1" applyFill="1" applyBorder="1" applyAlignment="1" applyProtection="1">
      <alignment horizontal="center"/>
      <protection locked="0"/>
    </xf>
    <xf numFmtId="0" fontId="37" fillId="5" borderId="10" xfId="543" applyFont="1" applyFill="1" applyBorder="1" applyAlignment="1" applyProtection="1">
      <alignment horizontal="center"/>
      <protection locked="0"/>
    </xf>
    <xf numFmtId="0" fontId="25" fillId="0" borderId="1" xfId="0" applyFont="1" applyBorder="1" applyAlignment="1">
      <alignment horizontal="center" wrapText="1"/>
    </xf>
    <xf numFmtId="168" fontId="18"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25" fillId="10" borderId="3" xfId="543" applyFont="1" applyFill="1" applyBorder="1" applyAlignment="1">
      <alignment horizontal="center"/>
    </xf>
    <xf numFmtId="0" fontId="25" fillId="10" borderId="4" xfId="543" applyFont="1" applyFill="1" applyBorder="1" applyAlignment="1">
      <alignment horizontal="center"/>
    </xf>
    <xf numFmtId="0" fontId="25" fillId="10" borderId="5" xfId="543" applyFont="1" applyFill="1" applyBorder="1" applyAlignment="1">
      <alignment horizontal="center"/>
    </xf>
    <xf numFmtId="0" fontId="37" fillId="5" borderId="3" xfId="543" applyFont="1" applyFill="1" applyBorder="1" applyAlignment="1" applyProtection="1">
      <alignment horizontal="center" vertical="top"/>
      <protection locked="0"/>
    </xf>
    <xf numFmtId="0" fontId="37" fillId="5" borderId="5" xfId="543" applyFont="1" applyFill="1" applyBorder="1" applyAlignment="1" applyProtection="1">
      <alignment horizontal="center" vertical="top"/>
      <protection locked="0"/>
    </xf>
    <xf numFmtId="0" fontId="25" fillId="0" borderId="1" xfId="543" applyFont="1" applyBorder="1" applyAlignment="1">
      <alignment horizontal="left" vertical="top" wrapText="1"/>
    </xf>
    <xf numFmtId="0" fontId="25" fillId="0" borderId="2" xfId="543" applyFont="1" applyBorder="1" applyAlignment="1">
      <alignment horizontal="left" vertical="top" wrapText="1"/>
    </xf>
    <xf numFmtId="0" fontId="25" fillId="0" borderId="7" xfId="543" applyFont="1" applyBorder="1" applyAlignment="1">
      <alignment horizontal="left" vertical="top" wrapText="1"/>
    </xf>
    <xf numFmtId="0" fontId="25" fillId="0" borderId="8" xfId="543" applyFont="1" applyBorder="1" applyAlignment="1">
      <alignment horizontal="left" vertical="top" wrapText="1"/>
    </xf>
    <xf numFmtId="0" fontId="25" fillId="0" borderId="0" xfId="543" applyFont="1" applyAlignment="1">
      <alignment horizontal="left" vertical="top" wrapText="1"/>
    </xf>
    <xf numFmtId="0" fontId="25" fillId="0" borderId="12" xfId="543" applyFont="1" applyBorder="1" applyAlignment="1">
      <alignment horizontal="left" vertical="top" wrapText="1"/>
    </xf>
    <xf numFmtId="0" fontId="152" fillId="0" borderId="8" xfId="543" applyFont="1" applyBorder="1" applyAlignment="1">
      <alignment horizontal="center" vertical="center" wrapText="1"/>
    </xf>
    <xf numFmtId="0" fontId="152" fillId="0" borderId="0" xfId="543" applyFont="1" applyAlignment="1">
      <alignment horizontal="center" vertical="center" wrapText="1"/>
    </xf>
    <xf numFmtId="0" fontId="152" fillId="0" borderId="12" xfId="543" applyFont="1" applyBorder="1" applyAlignment="1">
      <alignment horizontal="center" vertical="center" wrapText="1"/>
    </xf>
    <xf numFmtId="0" fontId="18" fillId="0" borderId="8" xfId="543" applyBorder="1" applyAlignment="1">
      <alignment horizontal="left" vertical="center" wrapText="1"/>
    </xf>
    <xf numFmtId="0" fontId="18" fillId="0" borderId="0" xfId="543" applyAlignment="1">
      <alignment horizontal="left" vertical="center" wrapText="1"/>
    </xf>
    <xf numFmtId="0" fontId="18" fillId="0" borderId="12" xfId="543" applyBorder="1" applyAlignment="1">
      <alignment horizontal="left" vertical="center" wrapText="1"/>
    </xf>
    <xf numFmtId="0" fontId="38" fillId="0" borderId="4" xfId="543" applyFont="1" applyBorder="1" applyAlignment="1">
      <alignment horizontal="right" vertical="top" wrapText="1"/>
    </xf>
    <xf numFmtId="0" fontId="38" fillId="0" borderId="5" xfId="543" applyFont="1" applyBorder="1" applyAlignment="1">
      <alignment horizontal="right" vertical="top" wrapText="1"/>
    </xf>
    <xf numFmtId="0" fontId="26" fillId="0" borderId="3" xfId="543" applyFont="1" applyBorder="1" applyAlignment="1">
      <alignment horizontal="center"/>
    </xf>
    <xf numFmtId="0" fontId="26" fillId="0" borderId="5" xfId="543" applyFont="1" applyBorder="1" applyAlignment="1">
      <alignment horizontal="center"/>
    </xf>
    <xf numFmtId="1" fontId="26" fillId="0" borderId="3" xfId="543" applyNumberFormat="1" applyFont="1" applyBorder="1" applyAlignment="1">
      <alignment horizontal="center"/>
    </xf>
    <xf numFmtId="1" fontId="26" fillId="0" borderId="5" xfId="543" applyNumberFormat="1" applyFont="1" applyBorder="1" applyAlignment="1">
      <alignment horizontal="center"/>
    </xf>
    <xf numFmtId="0" fontId="39" fillId="0" borderId="3" xfId="543" applyFont="1" applyBorder="1" applyAlignment="1">
      <alignment horizontal="center"/>
    </xf>
    <xf numFmtId="0" fontId="39" fillId="0" borderId="4" xfId="543" applyFont="1" applyBorder="1" applyAlignment="1">
      <alignment horizontal="center"/>
    </xf>
    <xf numFmtId="0" fontId="39" fillId="0" borderId="5" xfId="543" applyFont="1" applyBorder="1" applyAlignment="1">
      <alignment horizontal="center"/>
    </xf>
    <xf numFmtId="182" fontId="26" fillId="43" borderId="11" xfId="8721" applyNumberFormat="1" applyFont="1" applyFill="1" applyBorder="1" applyAlignment="1" applyProtection="1">
      <alignment horizontal="center" vertical="center" wrapText="1"/>
      <protection locked="0"/>
    </xf>
    <xf numFmtId="0" fontId="26" fillId="5" borderId="3" xfId="0" applyFont="1" applyFill="1" applyBorder="1" applyAlignment="1" applyProtection="1">
      <alignment horizontal="left"/>
      <protection locked="0"/>
    </xf>
    <xf numFmtId="0" fontId="26" fillId="5" borderId="4" xfId="0" applyFont="1" applyFill="1" applyBorder="1" applyAlignment="1" applyProtection="1">
      <alignment horizontal="left"/>
      <protection locked="0"/>
    </xf>
    <xf numFmtId="0" fontId="26" fillId="5" borderId="5" xfId="0" applyFont="1" applyFill="1" applyBorder="1" applyAlignment="1" applyProtection="1">
      <alignment horizontal="left"/>
      <protection locked="0"/>
    </xf>
    <xf numFmtId="0" fontId="45" fillId="0" borderId="8" xfId="543" applyFont="1" applyBorder="1" applyAlignment="1">
      <alignment horizontal="center" vertical="center" wrapText="1"/>
    </xf>
    <xf numFmtId="0" fontId="45" fillId="0" borderId="0" xfId="543" applyFont="1" applyAlignment="1">
      <alignment horizontal="center" vertical="center" wrapText="1"/>
    </xf>
    <xf numFmtId="0" fontId="45" fillId="0" borderId="12" xfId="543" applyFont="1" applyBorder="1" applyAlignment="1">
      <alignment horizontal="center" vertical="center" wrapText="1"/>
    </xf>
    <xf numFmtId="168" fontId="25" fillId="0" borderId="3" xfId="543" applyNumberFormat="1" applyFont="1" applyBorder="1" applyAlignment="1">
      <alignment horizontal="center" vertical="center"/>
    </xf>
    <xf numFmtId="168" fontId="25" fillId="0" borderId="4" xfId="543" applyNumberFormat="1" applyFont="1" applyBorder="1" applyAlignment="1">
      <alignment horizontal="center" vertical="center"/>
    </xf>
    <xf numFmtId="168" fontId="25" fillId="0" borderId="5" xfId="543" applyNumberFormat="1" applyFont="1" applyBorder="1" applyAlignment="1">
      <alignment horizontal="center" vertical="center"/>
    </xf>
    <xf numFmtId="0" fontId="18" fillId="5" borderId="3" xfId="543" applyFill="1" applyBorder="1" applyAlignment="1" applyProtection="1">
      <alignment horizontal="left" vertical="top" wrapText="1"/>
      <protection locked="0"/>
    </xf>
    <xf numFmtId="0" fontId="27" fillId="5" borderId="4" xfId="543" applyFont="1" applyFill="1" applyBorder="1" applyAlignment="1" applyProtection="1">
      <alignment horizontal="left" vertical="top" wrapText="1"/>
      <protection locked="0"/>
    </xf>
    <xf numFmtId="0" fontId="27" fillId="5" borderId="5" xfId="543" applyFont="1" applyFill="1" applyBorder="1" applyAlignment="1" applyProtection="1">
      <alignment horizontal="left" vertical="top" wrapText="1"/>
      <protection locked="0"/>
    </xf>
    <xf numFmtId="0" fontId="18" fillId="0" borderId="9" xfId="543" applyBorder="1" applyAlignment="1">
      <alignment horizontal="left" vertical="center" wrapText="1"/>
    </xf>
    <xf numFmtId="0" fontId="18" fillId="0" borderId="6" xfId="543" applyBorder="1" applyAlignment="1">
      <alignment horizontal="left" vertical="center" wrapText="1"/>
    </xf>
    <xf numFmtId="0" fontId="18" fillId="0" borderId="10" xfId="543" applyBorder="1" applyAlignment="1">
      <alignment horizontal="left" vertical="center" wrapText="1"/>
    </xf>
    <xf numFmtId="180" fontId="0" fillId="0" borderId="6" xfId="0" applyNumberFormat="1" applyBorder="1" applyAlignment="1">
      <alignment horizontal="center"/>
    </xf>
    <xf numFmtId="14" fontId="27" fillId="5" borderId="4" xfId="0" applyNumberFormat="1" applyFont="1" applyFill="1" applyBorder="1" applyAlignment="1" applyProtection="1">
      <alignment horizontal="right"/>
      <protection locked="0"/>
    </xf>
    <xf numFmtId="0" fontId="51" fillId="0" borderId="0" xfId="0" applyFont="1" applyAlignment="1">
      <alignment horizontal="center"/>
    </xf>
    <xf numFmtId="0" fontId="25" fillId="0" borderId="0" xfId="0" applyFont="1" applyAlignment="1">
      <alignment horizontal="center"/>
    </xf>
    <xf numFmtId="0" fontId="18" fillId="0" borderId="0" xfId="0" applyFont="1" applyAlignment="1">
      <alignment horizontal="center"/>
    </xf>
    <xf numFmtId="0" fontId="33" fillId="0" borderId="0" xfId="0" applyFont="1" applyAlignment="1">
      <alignment horizontal="center"/>
    </xf>
    <xf numFmtId="0" fontId="18" fillId="0" borderId="0" xfId="0" applyFont="1" applyAlignment="1">
      <alignment vertical="top" wrapText="1"/>
    </xf>
    <xf numFmtId="0" fontId="18" fillId="0" borderId="0" xfId="0" applyFont="1" applyAlignment="1">
      <alignment horizontal="center" vertical="top"/>
    </xf>
    <xf numFmtId="168" fontId="27" fillId="0" borderId="6" xfId="0" applyNumberFormat="1" applyFont="1" applyBorder="1" applyAlignment="1">
      <alignment horizontal="center"/>
    </xf>
    <xf numFmtId="0" fontId="55" fillId="0" borderId="1" xfId="0" applyFont="1" applyBorder="1" applyAlignment="1">
      <alignment horizontal="center" vertical="center" wrapText="1"/>
    </xf>
    <xf numFmtId="0" fontId="55" fillId="0" borderId="2" xfId="0" applyFont="1" applyBorder="1" applyAlignment="1">
      <alignment horizontal="center" vertical="center" wrapText="1"/>
    </xf>
    <xf numFmtId="0" fontId="55" fillId="0" borderId="7" xfId="0" applyFont="1" applyBorder="1" applyAlignment="1">
      <alignment horizontal="center" vertical="center" wrapText="1"/>
    </xf>
    <xf numFmtId="0" fontId="55" fillId="0" borderId="8" xfId="0" applyFont="1" applyBorder="1" applyAlignment="1">
      <alignment horizontal="center" vertical="center" wrapText="1"/>
    </xf>
    <xf numFmtId="0" fontId="55" fillId="0" borderId="0" xfId="0" applyFont="1" applyAlignment="1">
      <alignment horizontal="center" vertical="center" wrapText="1"/>
    </xf>
    <xf numFmtId="0" fontId="55" fillId="0" borderId="12" xfId="0" applyFont="1" applyBorder="1" applyAlignment="1">
      <alignment horizontal="center" vertical="center" wrapText="1"/>
    </xf>
    <xf numFmtId="0" fontId="55" fillId="0" borderId="9" xfId="0" applyFont="1" applyBorder="1" applyAlignment="1">
      <alignment horizontal="center" vertical="center" wrapText="1"/>
    </xf>
    <xf numFmtId="0" fontId="55" fillId="0" borderId="6" xfId="0" applyFont="1" applyBorder="1" applyAlignment="1">
      <alignment horizontal="center" vertical="center" wrapText="1"/>
    </xf>
    <xf numFmtId="0" fontId="55" fillId="0" borderId="10" xfId="0" applyFont="1" applyBorder="1" applyAlignment="1">
      <alignment horizontal="center" vertical="center" wrapText="1"/>
    </xf>
    <xf numFmtId="168" fontId="18" fillId="5" borderId="3" xfId="0" applyNumberFormat="1" applyFont="1" applyFill="1" applyBorder="1" applyAlignment="1" applyProtection="1">
      <alignment horizontal="left" vertical="top"/>
      <protection locked="0"/>
    </xf>
    <xf numFmtId="168" fontId="27" fillId="5" borderId="4" xfId="0" applyNumberFormat="1" applyFont="1" applyFill="1" applyBorder="1" applyAlignment="1" applyProtection="1">
      <alignment horizontal="left" vertical="top"/>
      <protection locked="0"/>
    </xf>
    <xf numFmtId="168" fontId="27" fillId="5" borderId="5" xfId="0" applyNumberFormat="1" applyFont="1" applyFill="1" applyBorder="1" applyAlignment="1" applyProtection="1">
      <alignment horizontal="left" vertical="top"/>
      <protection locked="0"/>
    </xf>
    <xf numFmtId="0" fontId="25" fillId="0" borderId="11" xfId="0" applyFont="1" applyBorder="1" applyAlignment="1">
      <alignment horizontal="center" vertical="center"/>
    </xf>
    <xf numFmtId="0" fontId="18" fillId="43" borderId="11" xfId="0" applyFon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26" fillId="5" borderId="3" xfId="543" applyFont="1" applyFill="1" applyBorder="1" applyAlignment="1" applyProtection="1">
      <alignment horizontal="left" vertical="top" wrapText="1"/>
      <protection locked="0"/>
    </xf>
    <xf numFmtId="0" fontId="26" fillId="5" borderId="4" xfId="543" applyFont="1" applyFill="1" applyBorder="1" applyAlignment="1" applyProtection="1">
      <alignment horizontal="left" vertical="top" wrapText="1"/>
      <protection locked="0"/>
    </xf>
    <xf numFmtId="0" fontId="26" fillId="5" borderId="5" xfId="543" applyFont="1" applyFill="1" applyBorder="1" applyAlignment="1" applyProtection="1">
      <alignment horizontal="left" vertical="top" wrapText="1"/>
      <protection locked="0"/>
    </xf>
    <xf numFmtId="0" fontId="26" fillId="0" borderId="0" xfId="0" applyFont="1" applyAlignment="1">
      <alignment horizontal="center"/>
    </xf>
    <xf numFmtId="0" fontId="159" fillId="0" borderId="8" xfId="543" applyFont="1" applyBorder="1" applyAlignment="1">
      <alignment horizontal="center" wrapText="1"/>
    </xf>
    <xf numFmtId="0" fontId="159" fillId="0" borderId="0" xfId="543" applyFont="1" applyAlignment="1">
      <alignment horizontal="center" wrapText="1"/>
    </xf>
    <xf numFmtId="0" fontId="159" fillId="0" borderId="12" xfId="543" applyFont="1" applyBorder="1" applyAlignment="1">
      <alignment horizontal="center" wrapText="1"/>
    </xf>
    <xf numFmtId="0" fontId="159" fillId="0" borderId="9" xfId="543" applyFont="1" applyBorder="1" applyAlignment="1">
      <alignment horizontal="center" wrapText="1"/>
    </xf>
    <xf numFmtId="0" fontId="159" fillId="0" borderId="6" xfId="543" applyFont="1" applyBorder="1" applyAlignment="1">
      <alignment horizontal="center" wrapText="1"/>
    </xf>
    <xf numFmtId="0" fontId="159" fillId="0" borderId="10" xfId="543" applyFont="1" applyBorder="1" applyAlignment="1">
      <alignment horizontal="center" wrapText="1"/>
    </xf>
    <xf numFmtId="0" fontId="159" fillId="0" borderId="8" xfId="543" applyFont="1" applyBorder="1" applyAlignment="1">
      <alignment horizontal="center" vertical="top" wrapText="1"/>
    </xf>
    <xf numFmtId="0" fontId="159" fillId="0" borderId="0" xfId="543" applyFont="1" applyAlignment="1">
      <alignment horizontal="center" vertical="top" wrapText="1"/>
    </xf>
    <xf numFmtId="0" fontId="159" fillId="0" borderId="12" xfId="543" applyFont="1" applyBorder="1" applyAlignment="1">
      <alignment horizontal="center" vertical="top" wrapText="1"/>
    </xf>
    <xf numFmtId="0" fontId="159" fillId="0" borderId="9" xfId="543" applyFont="1" applyBorder="1" applyAlignment="1">
      <alignment horizontal="center" vertical="top" wrapText="1"/>
    </xf>
    <xf numFmtId="0" fontId="159" fillId="0" borderId="6" xfId="543" applyFont="1" applyBorder="1" applyAlignment="1">
      <alignment horizontal="center" vertical="top" wrapText="1"/>
    </xf>
    <xf numFmtId="0" fontId="159" fillId="0" borderId="10" xfId="543" applyFont="1" applyBorder="1" applyAlignment="1">
      <alignment horizontal="center" vertical="top" wrapText="1"/>
    </xf>
    <xf numFmtId="0" fontId="156" fillId="0" borderId="0" xfId="0" applyFont="1" applyAlignment="1">
      <alignment horizontal="center" vertical="center" wrapText="1"/>
    </xf>
    <xf numFmtId="0" fontId="27" fillId="0" borderId="0" xfId="543" applyFont="1" applyAlignment="1">
      <alignment horizontal="center"/>
    </xf>
    <xf numFmtId="0" fontId="18" fillId="0" borderId="0" xfId="0" applyFont="1" applyAlignment="1">
      <alignment vertical="center" wrapText="1"/>
    </xf>
    <xf numFmtId="0" fontId="18" fillId="0" borderId="0" xfId="543" applyAlignment="1">
      <alignment wrapText="1"/>
    </xf>
    <xf numFmtId="0" fontId="19" fillId="0" borderId="0" xfId="244"/>
    <xf numFmtId="0" fontId="0" fillId="0" borderId="0" xfId="0"/>
    <xf numFmtId="0" fontId="18" fillId="0" borderId="0" xfId="1192" applyAlignment="1">
      <alignment horizontal="left" vertical="top" wrapText="1"/>
    </xf>
    <xf numFmtId="0" fontId="25" fillId="0" borderId="0" xfId="0" applyFont="1" applyAlignment="1">
      <alignment horizontal="left" vertical="top" wrapText="1"/>
    </xf>
    <xf numFmtId="0" fontId="47" fillId="0" borderId="0" xfId="0" applyFont="1" applyAlignment="1">
      <alignment horizontal="left" vertical="top" wrapText="1"/>
    </xf>
    <xf numFmtId="0" fontId="19" fillId="0" borderId="0" xfId="244" applyAlignment="1" applyProtection="1">
      <alignment horizontal="left"/>
    </xf>
    <xf numFmtId="0" fontId="114" fillId="0" borderId="0" xfId="0" applyFont="1" applyAlignment="1">
      <alignment horizontal="left" wrapText="1"/>
    </xf>
    <xf numFmtId="0" fontId="27" fillId="0" borderId="0" xfId="0" applyFont="1" applyAlignment="1">
      <alignment horizontal="left" wrapText="1"/>
    </xf>
    <xf numFmtId="0" fontId="24" fillId="3" borderId="16" xfId="0" applyFont="1" applyFill="1" applyBorder="1" applyAlignment="1">
      <alignment horizontal="center" vertical="center" wrapText="1"/>
    </xf>
    <xf numFmtId="0" fontId="106" fillId="0" borderId="0" xfId="0" applyFont="1" applyAlignment="1">
      <alignment horizontal="left" vertical="top" wrapText="1"/>
    </xf>
    <xf numFmtId="0" fontId="19" fillId="0" borderId="0" xfId="244" applyAlignment="1">
      <alignment horizontal="left" vertical="top"/>
    </xf>
    <xf numFmtId="0" fontId="115" fillId="0" borderId="0" xfId="569" applyFont="1" applyAlignment="1">
      <alignment horizontal="center"/>
    </xf>
    <xf numFmtId="0" fontId="116" fillId="0" borderId="0" xfId="569" applyFont="1"/>
    <xf numFmtId="0" fontId="18" fillId="0" borderId="0" xfId="569" applyAlignment="1">
      <alignment wrapText="1"/>
    </xf>
    <xf numFmtId="0" fontId="25" fillId="0" borderId="0" xfId="569" applyFont="1" applyAlignment="1">
      <alignment wrapText="1"/>
    </xf>
    <xf numFmtId="0" fontId="33" fillId="0" borderId="0" xfId="569" applyFont="1" applyAlignment="1">
      <alignment horizontal="center"/>
    </xf>
    <xf numFmtId="0" fontId="18" fillId="0" borderId="0" xfId="569"/>
    <xf numFmtId="0" fontId="18" fillId="0" borderId="0" xfId="1192" applyAlignment="1">
      <alignment vertical="top" wrapText="1"/>
    </xf>
    <xf numFmtId="0" fontId="18" fillId="0" borderId="0" xfId="569" applyAlignment="1">
      <alignment horizontal="left" wrapText="1"/>
    </xf>
    <xf numFmtId="0" fontId="36" fillId="0" borderId="0" xfId="569" applyFont="1" applyAlignment="1">
      <alignment horizontal="center"/>
    </xf>
    <xf numFmtId="0" fontId="25" fillId="0" borderId="0" xfId="569" applyFont="1" applyAlignment="1">
      <alignment horizontal="center"/>
    </xf>
    <xf numFmtId="0" fontId="18" fillId="0" borderId="0" xfId="569" applyAlignment="1">
      <alignment horizontal="left" vertical="top" wrapText="1"/>
    </xf>
    <xf numFmtId="0" fontId="18" fillId="0" borderId="0" xfId="569" applyAlignment="1">
      <alignment horizontal="left"/>
    </xf>
    <xf numFmtId="0" fontId="36" fillId="0" borderId="0" xfId="569" applyFont="1" applyAlignment="1">
      <alignment horizontal="left" vertical="top" wrapText="1"/>
    </xf>
    <xf numFmtId="0" fontId="25" fillId="0" borderId="4" xfId="569" applyFont="1" applyBorder="1" applyAlignment="1">
      <alignment horizontal="left"/>
    </xf>
    <xf numFmtId="4" fontId="18" fillId="0" borderId="0" xfId="1192" applyNumberFormat="1" applyAlignment="1">
      <alignment horizontal="left" vertical="top" wrapText="1"/>
    </xf>
    <xf numFmtId="49" fontId="18" fillId="0" borderId="0" xfId="0" applyNumberFormat="1" applyFont="1" applyAlignment="1">
      <alignment horizontal="left" vertical="top" wrapText="1"/>
    </xf>
    <xf numFmtId="0" fontId="19" fillId="0" borderId="0" xfId="244" applyAlignment="1" applyProtection="1">
      <alignment horizontal="left" vertical="top" wrapText="1"/>
    </xf>
    <xf numFmtId="0" fontId="18" fillId="0" borderId="0" xfId="569" applyAlignment="1">
      <alignment horizontal="left" vertical="top"/>
    </xf>
    <xf numFmtId="0" fontId="25" fillId="0" borderId="4" xfId="569" applyFont="1" applyBorder="1" applyAlignment="1">
      <alignment horizontal="left" vertical="top"/>
    </xf>
    <xf numFmtId="0" fontId="36" fillId="0" borderId="0" xfId="569" applyFont="1" applyAlignment="1">
      <alignment horizontal="left"/>
    </xf>
    <xf numFmtId="4" fontId="18" fillId="0" borderId="0" xfId="569" applyNumberFormat="1" applyAlignment="1">
      <alignment horizontal="left"/>
    </xf>
    <xf numFmtId="4" fontId="18" fillId="0" borderId="0" xfId="569" applyNumberFormat="1" applyAlignment="1">
      <alignment horizontal="left" vertical="top" wrapText="1"/>
    </xf>
    <xf numFmtId="0" fontId="25" fillId="0" borderId="0" xfId="569" applyFont="1" applyAlignment="1">
      <alignment horizontal="left"/>
    </xf>
    <xf numFmtId="0" fontId="36" fillId="0" borderId="0" xfId="1192" applyFont="1" applyAlignment="1">
      <alignment horizontal="left"/>
    </xf>
    <xf numFmtId="0" fontId="18" fillId="0" borderId="0" xfId="1192" applyAlignment="1">
      <alignment horizontal="left"/>
    </xf>
    <xf numFmtId="0" fontId="18" fillId="0" borderId="0" xfId="0" applyFont="1" applyAlignment="1">
      <alignment horizontal="left"/>
    </xf>
    <xf numFmtId="0" fontId="18" fillId="0" borderId="0" xfId="0" applyFont="1" applyAlignment="1">
      <alignment horizontal="left" vertical="top"/>
    </xf>
    <xf numFmtId="0" fontId="25" fillId="0" borderId="0" xfId="0" applyFont="1" applyAlignment="1">
      <alignment horizontal="left" vertical="top"/>
    </xf>
    <xf numFmtId="49" fontId="18" fillId="0" borderId="0" xfId="1192" applyNumberFormat="1" applyAlignment="1">
      <alignment horizontal="left" vertical="top" wrapText="1"/>
    </xf>
    <xf numFmtId="0" fontId="19" fillId="0" borderId="0" xfId="244" applyNumberFormat="1" applyFill="1" applyAlignment="1" applyProtection="1">
      <alignment horizontal="left"/>
    </xf>
    <xf numFmtId="0" fontId="36" fillId="0" borderId="0" xfId="569" applyFont="1" applyAlignment="1">
      <alignment horizontal="left" wrapText="1"/>
    </xf>
    <xf numFmtId="0" fontId="36" fillId="0" borderId="0" xfId="569" applyFont="1" applyAlignment="1">
      <alignment horizontal="center" wrapText="1"/>
    </xf>
    <xf numFmtId="0" fontId="18" fillId="0" borderId="0" xfId="569" applyAlignment="1">
      <alignment horizontal="left" vertical="center" wrapText="1"/>
    </xf>
    <xf numFmtId="0" fontId="25" fillId="0" borderId="4" xfId="0" applyFont="1" applyBorder="1" applyAlignment="1">
      <alignment horizontal="left"/>
    </xf>
    <xf numFmtId="0" fontId="18" fillId="0" borderId="0" xfId="1192" applyAlignment="1" applyProtection="1">
      <alignment horizontal="left" vertical="top" wrapText="1"/>
      <protection locked="0"/>
    </xf>
    <xf numFmtId="0" fontId="0" fillId="0" borderId="0" xfId="0" applyAlignment="1">
      <alignment horizontal="left" vertical="top" wrapText="1"/>
    </xf>
    <xf numFmtId="0" fontId="36" fillId="0" borderId="0" xfId="1192" applyFont="1" applyAlignment="1">
      <alignment horizontal="left" vertical="top" wrapText="1"/>
    </xf>
    <xf numFmtId="0" fontId="18" fillId="0" borderId="0" xfId="569" applyAlignment="1">
      <alignment vertical="top" wrapText="1"/>
    </xf>
    <xf numFmtId="0" fontId="36" fillId="0" borderId="0" xfId="0" applyFont="1" applyAlignment="1">
      <alignment horizontal="left" vertical="top" wrapText="1"/>
    </xf>
    <xf numFmtId="4" fontId="36" fillId="0" borderId="0" xfId="0" applyNumberFormat="1" applyFont="1" applyAlignment="1">
      <alignment horizontal="left" vertical="top" wrapText="1"/>
    </xf>
    <xf numFmtId="0" fontId="25" fillId="0" borderId="4" xfId="0" applyFont="1" applyBorder="1" applyAlignment="1">
      <alignment horizontal="left" vertical="top"/>
    </xf>
    <xf numFmtId="4" fontId="18" fillId="0" borderId="0" xfId="0" applyNumberFormat="1" applyFont="1" applyAlignment="1">
      <alignment horizontal="left" vertical="top" wrapText="1"/>
    </xf>
    <xf numFmtId="0" fontId="18" fillId="0" borderId="27" xfId="569" applyBorder="1" applyAlignment="1">
      <alignment horizontal="left"/>
    </xf>
    <xf numFmtId="0" fontId="25" fillId="0" borderId="16" xfId="569" applyFont="1" applyBorder="1" applyAlignment="1">
      <alignment horizontal="left"/>
    </xf>
    <xf numFmtId="4" fontId="36" fillId="0" borderId="0" xfId="569" applyNumberFormat="1" applyFont="1" applyAlignment="1">
      <alignment horizontal="left" vertical="top" wrapText="1"/>
    </xf>
    <xf numFmtId="0" fontId="36" fillId="0" borderId="0" xfId="0" applyFont="1" applyAlignment="1">
      <alignment horizontal="left"/>
    </xf>
    <xf numFmtId="0" fontId="18" fillId="0" borderId="0" xfId="0" quotePrefix="1" applyFont="1" applyAlignment="1">
      <alignment horizontal="left" vertical="top"/>
    </xf>
    <xf numFmtId="0" fontId="18" fillId="0" borderId="0" xfId="0" quotePrefix="1" applyFont="1" applyAlignment="1">
      <alignment horizontal="left" vertical="top" wrapText="1"/>
    </xf>
    <xf numFmtId="0" fontId="19" fillId="0" borderId="0" xfId="244" quotePrefix="1" applyAlignment="1" applyProtection="1">
      <alignment horizontal="left"/>
    </xf>
    <xf numFmtId="4" fontId="36" fillId="0" borderId="0" xfId="0" applyNumberFormat="1" applyFont="1" applyAlignment="1">
      <alignment horizontal="left"/>
    </xf>
    <xf numFmtId="0" fontId="25" fillId="0" borderId="0" xfId="1192" applyFont="1" applyAlignment="1">
      <alignment horizontal="left" vertical="top" wrapText="1"/>
    </xf>
    <xf numFmtId="0" fontId="18" fillId="0" borderId="0" xfId="0" applyFont="1" applyAlignment="1">
      <alignment horizontal="left" vertical="center" wrapText="1"/>
    </xf>
    <xf numFmtId="0" fontId="19" fillId="0" borderId="0" xfId="244" applyFill="1" applyBorder="1" applyAlignment="1">
      <alignment horizontal="left" vertical="top" wrapText="1"/>
    </xf>
    <xf numFmtId="0" fontId="25" fillId="0" borderId="0" xfId="0" applyFont="1" applyAlignment="1">
      <alignment vertical="top" wrapText="1"/>
    </xf>
    <xf numFmtId="4" fontId="18" fillId="0" borderId="0" xfId="0" applyNumberFormat="1" applyFont="1" applyAlignment="1">
      <alignment horizontal="left"/>
    </xf>
    <xf numFmtId="0" fontId="36" fillId="0" borderId="0" xfId="569" applyFont="1" applyAlignment="1">
      <alignment horizontal="left" vertical="top"/>
    </xf>
    <xf numFmtId="0" fontId="36" fillId="0" borderId="0" xfId="0" applyFont="1" applyAlignment="1">
      <alignment horizontal="left" vertical="top"/>
    </xf>
    <xf numFmtId="0" fontId="27" fillId="0" borderId="2" xfId="0" applyFont="1" applyBorder="1" applyAlignment="1">
      <alignment horizontal="left" vertical="top" wrapText="1"/>
    </xf>
    <xf numFmtId="177" fontId="27" fillId="5" borderId="6" xfId="0" applyNumberFormat="1" applyFont="1" applyFill="1" applyBorder="1" applyAlignment="1" applyProtection="1">
      <alignment horizontal="left" vertical="top" wrapText="1"/>
      <protection locked="0"/>
    </xf>
    <xf numFmtId="0" fontId="55" fillId="0" borderId="0" xfId="0" applyFont="1" applyAlignment="1">
      <alignment vertical="top" wrapText="1"/>
    </xf>
    <xf numFmtId="0" fontId="27" fillId="0" borderId="0" xfId="0" applyFont="1" applyAlignment="1">
      <alignment vertical="top" wrapText="1"/>
    </xf>
    <xf numFmtId="0" fontId="27" fillId="0" borderId="6" xfId="0" applyFont="1" applyBorder="1" applyAlignment="1">
      <alignment horizontal="right" vertical="top" wrapText="1"/>
    </xf>
    <xf numFmtId="0" fontId="27" fillId="0" borderId="6" xfId="0" applyFont="1" applyBorder="1" applyAlignment="1">
      <alignment vertical="top" wrapText="1"/>
    </xf>
    <xf numFmtId="0" fontId="59" fillId="2" borderId="3" xfId="0" applyFont="1" applyFill="1" applyBorder="1" applyAlignment="1">
      <alignment horizontal="center" vertical="top"/>
    </xf>
    <xf numFmtId="0" fontId="59" fillId="2" borderId="4" xfId="0" applyFont="1" applyFill="1" applyBorder="1" applyAlignment="1">
      <alignment horizontal="center" vertical="top"/>
    </xf>
    <xf numFmtId="0" fontId="59" fillId="2" borderId="5" xfId="0" applyFont="1" applyFill="1" applyBorder="1" applyAlignment="1">
      <alignment horizontal="center" vertical="top"/>
    </xf>
    <xf numFmtId="0" fontId="27" fillId="0" borderId="2" xfId="0" applyFont="1" applyBorder="1" applyAlignment="1">
      <alignment vertical="top" wrapText="1"/>
    </xf>
    <xf numFmtId="0" fontId="54" fillId="0" borderId="0" xfId="0" applyFont="1" applyAlignment="1">
      <alignment vertical="top" wrapText="1"/>
    </xf>
    <xf numFmtId="0" fontId="55" fillId="0" borderId="0" xfId="569" applyFont="1" applyAlignment="1">
      <alignment vertical="top" wrapText="1"/>
    </xf>
    <xf numFmtId="0" fontId="18" fillId="0" borderId="0" xfId="569" applyAlignment="1">
      <alignment horizontal="right" vertical="top" wrapText="1"/>
    </xf>
    <xf numFmtId="0" fontId="24" fillId="3" borderId="3" xfId="0" applyFont="1" applyFill="1" applyBorder="1" applyAlignment="1">
      <alignment horizontal="left" vertical="top"/>
    </xf>
    <xf numFmtId="0" fontId="24" fillId="3" borderId="4" xfId="0" applyFont="1" applyFill="1" applyBorder="1" applyAlignment="1">
      <alignment horizontal="left" vertical="top"/>
    </xf>
    <xf numFmtId="0" fontId="24" fillId="3" borderId="5" xfId="0" applyFont="1" applyFill="1" applyBorder="1" applyAlignment="1">
      <alignment horizontal="left" vertical="top"/>
    </xf>
    <xf numFmtId="0" fontId="103" fillId="44" borderId="0" xfId="8736" applyFont="1" applyFill="1" applyAlignment="1">
      <alignment horizontal="left"/>
    </xf>
    <xf numFmtId="0" fontId="2" fillId="48" borderId="80" xfId="8736" applyFill="1" applyBorder="1" applyAlignment="1" applyProtection="1">
      <alignment horizontal="left"/>
      <protection locked="0"/>
    </xf>
    <xf numFmtId="0" fontId="2" fillId="48" borderId="79" xfId="8736" applyFill="1" applyBorder="1" applyAlignment="1" applyProtection="1">
      <alignment horizontal="left"/>
      <protection locked="0"/>
    </xf>
    <xf numFmtId="0" fontId="2" fillId="48" borderId="78" xfId="8736" applyFill="1" applyBorder="1" applyAlignment="1" applyProtection="1">
      <alignment horizontal="left"/>
      <protection locked="0"/>
    </xf>
    <xf numFmtId="0" fontId="165" fillId="44" borderId="0" xfId="8736" applyFont="1" applyFill="1" applyAlignment="1">
      <alignment horizontal="left" vertical="top"/>
    </xf>
    <xf numFmtId="0" fontId="103" fillId="44" borderId="0" xfId="8730" applyFont="1" applyFill="1" applyBorder="1" applyAlignment="1">
      <alignment horizontal="left" vertical="top"/>
    </xf>
    <xf numFmtId="14" fontId="2" fillId="48" borderId="80" xfId="8736" applyNumberFormat="1" applyFill="1" applyBorder="1" applyAlignment="1" applyProtection="1">
      <alignment horizontal="center"/>
      <protection locked="0"/>
    </xf>
    <xf numFmtId="14" fontId="2" fillId="48" borderId="79" xfId="8736" applyNumberFormat="1" applyFill="1" applyBorder="1" applyAlignment="1" applyProtection="1">
      <alignment horizontal="center"/>
      <protection locked="0"/>
    </xf>
    <xf numFmtId="14" fontId="2" fillId="48" borderId="78" xfId="8736" applyNumberFormat="1" applyFill="1" applyBorder="1" applyAlignment="1" applyProtection="1">
      <alignment horizontal="center"/>
      <protection locked="0"/>
    </xf>
    <xf numFmtId="0" fontId="166" fillId="47" borderId="0" xfId="8736" applyFont="1" applyFill="1" applyAlignment="1">
      <alignment horizontal="left" vertical="top" wrapText="1"/>
    </xf>
    <xf numFmtId="0" fontId="103" fillId="47" borderId="42" xfId="8736" applyFont="1" applyFill="1" applyBorder="1" applyAlignment="1">
      <alignment horizontal="center"/>
    </xf>
    <xf numFmtId="0" fontId="2" fillId="48" borderId="80" xfId="8736" applyFill="1" applyBorder="1" applyAlignment="1" applyProtection="1">
      <alignment horizontal="center"/>
      <protection locked="0"/>
    </xf>
    <xf numFmtId="0" fontId="2" fillId="48" borderId="79" xfId="8736" applyFill="1" applyBorder="1" applyAlignment="1" applyProtection="1">
      <alignment horizontal="center"/>
      <protection locked="0"/>
    </xf>
    <xf numFmtId="0" fontId="2" fillId="48" borderId="78" xfId="8736" applyFill="1" applyBorder="1" applyAlignment="1" applyProtection="1">
      <alignment horizontal="center"/>
      <protection locked="0"/>
    </xf>
    <xf numFmtId="0" fontId="167" fillId="47" borderId="65" xfId="8736" applyFont="1" applyFill="1" applyBorder="1" applyAlignment="1">
      <alignment horizontal="center"/>
    </xf>
    <xf numFmtId="0" fontId="167" fillId="47" borderId="29" xfId="8736" applyFont="1" applyFill="1" applyBorder="1" applyAlignment="1">
      <alignment horizontal="center"/>
    </xf>
    <xf numFmtId="0" fontId="167" fillId="47" borderId="31" xfId="8736" applyFont="1" applyFill="1" applyBorder="1" applyAlignment="1">
      <alignment horizontal="center"/>
    </xf>
    <xf numFmtId="0" fontId="2" fillId="47" borderId="66" xfId="8736" applyFill="1" applyBorder="1" applyAlignment="1">
      <alignment horizontal="center"/>
    </xf>
    <xf numFmtId="0" fontId="2" fillId="47" borderId="0" xfId="8736" applyFill="1" applyAlignment="1">
      <alignment horizontal="center"/>
    </xf>
    <xf numFmtId="0" fontId="2" fillId="47" borderId="41" xfId="8736" applyFill="1" applyBorder="1" applyAlignment="1">
      <alignment horizontal="center"/>
    </xf>
    <xf numFmtId="0" fontId="166" fillId="47" borderId="66" xfId="8736" applyFont="1" applyFill="1" applyBorder="1" applyAlignment="1">
      <alignment horizontal="center"/>
    </xf>
    <xf numFmtId="0" fontId="166" fillId="47" borderId="0" xfId="8736" applyFont="1" applyFill="1" applyAlignment="1">
      <alignment horizontal="center"/>
    </xf>
    <xf numFmtId="0" fontId="166" fillId="47" borderId="41" xfId="8736" applyFont="1" applyFill="1" applyBorder="1" applyAlignment="1">
      <alignment horizontal="center"/>
    </xf>
    <xf numFmtId="0" fontId="103" fillId="47" borderId="66" xfId="8736" applyFont="1" applyFill="1" applyBorder="1" applyAlignment="1">
      <alignment horizontal="center"/>
    </xf>
    <xf numFmtId="0" fontId="103" fillId="47" borderId="0" xfId="8736" applyFont="1" applyFill="1" applyAlignment="1">
      <alignment horizontal="center"/>
    </xf>
    <xf numFmtId="0" fontId="103" fillId="47" borderId="41" xfId="8736" applyFont="1" applyFill="1" applyBorder="1" applyAlignment="1">
      <alignment horizontal="center"/>
    </xf>
    <xf numFmtId="0" fontId="103" fillId="47" borderId="0" xfId="8736" applyFont="1" applyFill="1" applyAlignment="1">
      <alignment horizontal="left"/>
    </xf>
    <xf numFmtId="0" fontId="168" fillId="50" borderId="3" xfId="698" applyNumberFormat="1" applyFont="1" applyFill="1" applyBorder="1" applyAlignment="1" applyProtection="1">
      <alignment horizontal="center"/>
      <protection locked="0"/>
    </xf>
    <xf numFmtId="0" fontId="168" fillId="50" borderId="4" xfId="698" applyNumberFormat="1" applyFont="1" applyFill="1" applyBorder="1" applyAlignment="1" applyProtection="1">
      <alignment horizontal="center"/>
      <protection locked="0"/>
    </xf>
    <xf numFmtId="0" fontId="168" fillId="50" borderId="81" xfId="698" applyNumberFormat="1" applyFont="1" applyFill="1" applyBorder="1" applyAlignment="1" applyProtection="1">
      <alignment horizontal="center"/>
      <protection locked="0"/>
    </xf>
    <xf numFmtId="43" fontId="166" fillId="49" borderId="72" xfId="698" applyFont="1" applyFill="1" applyBorder="1" applyAlignment="1" applyProtection="1">
      <alignment horizontal="right"/>
      <protection hidden="1"/>
    </xf>
    <xf numFmtId="43" fontId="166" fillId="49" borderId="11" xfId="698" applyFont="1" applyFill="1" applyBorder="1" applyAlignment="1" applyProtection="1">
      <alignment horizontal="right"/>
      <protection hidden="1"/>
    </xf>
    <xf numFmtId="44" fontId="166" fillId="0" borderId="11" xfId="700" applyFont="1" applyBorder="1" applyAlignment="1" applyProtection="1">
      <alignment horizontal="center"/>
      <protection hidden="1"/>
    </xf>
    <xf numFmtId="168" fontId="166" fillId="0" borderId="11" xfId="700" applyNumberFormat="1" applyFont="1" applyBorder="1" applyAlignment="1" applyProtection="1">
      <alignment horizontal="center"/>
      <protection hidden="1"/>
    </xf>
    <xf numFmtId="9" fontId="166" fillId="0" borderId="11" xfId="1022" applyFont="1" applyBorder="1" applyAlignment="1" applyProtection="1">
      <alignment horizontal="center"/>
      <protection hidden="1"/>
    </xf>
    <xf numFmtId="43" fontId="166" fillId="49" borderId="3" xfId="698" applyFont="1" applyFill="1" applyBorder="1" applyAlignment="1" applyProtection="1">
      <alignment horizontal="center"/>
      <protection hidden="1"/>
    </xf>
    <xf numFmtId="43" fontId="166" fillId="49" borderId="4" xfId="698" applyFont="1" applyFill="1" applyBorder="1" applyAlignment="1" applyProtection="1">
      <alignment horizontal="center"/>
      <protection hidden="1"/>
    </xf>
    <xf numFmtId="43" fontId="166" fillId="49" borderId="81" xfId="698" applyFont="1" applyFill="1" applyBorder="1" applyAlignment="1" applyProtection="1">
      <alignment horizontal="center"/>
      <protection hidden="1"/>
    </xf>
    <xf numFmtId="0" fontId="169" fillId="49" borderId="72" xfId="698" applyNumberFormat="1" applyFont="1" applyFill="1" applyBorder="1" applyAlignment="1" applyProtection="1">
      <alignment horizontal="center"/>
      <protection hidden="1"/>
    </xf>
    <xf numFmtId="0" fontId="169" fillId="49" borderId="11" xfId="698" applyNumberFormat="1" applyFont="1" applyFill="1" applyBorder="1" applyAlignment="1" applyProtection="1">
      <alignment horizontal="center"/>
      <protection hidden="1"/>
    </xf>
    <xf numFmtId="0" fontId="169" fillId="48" borderId="11" xfId="569" applyFont="1" applyFill="1" applyBorder="1" applyAlignment="1" applyProtection="1">
      <alignment horizontal="center"/>
      <protection locked="0"/>
    </xf>
    <xf numFmtId="14" fontId="168" fillId="48" borderId="11" xfId="700" applyNumberFormat="1" applyFont="1" applyFill="1" applyBorder="1" applyAlignment="1" applyProtection="1">
      <alignment horizontal="center"/>
      <protection locked="0"/>
    </xf>
    <xf numFmtId="168" fontId="169" fillId="48" borderId="11" xfId="700" applyNumberFormat="1" applyFont="1" applyFill="1" applyBorder="1" applyAlignment="1" applyProtection="1">
      <alignment horizontal="center"/>
      <protection locked="0"/>
    </xf>
    <xf numFmtId="9" fontId="169" fillId="48" borderId="11" xfId="1022" applyFont="1" applyFill="1" applyBorder="1" applyAlignment="1" applyProtection="1">
      <alignment horizontal="center"/>
      <protection locked="0"/>
    </xf>
    <xf numFmtId="44" fontId="168" fillId="48" borderId="11" xfId="700" applyFont="1" applyFill="1" applyBorder="1" applyAlignment="1" applyProtection="1">
      <alignment horizontal="center"/>
      <protection locked="0"/>
    </xf>
    <xf numFmtId="0" fontId="171" fillId="45" borderId="11" xfId="8736" applyFont="1" applyFill="1" applyBorder="1" applyAlignment="1">
      <alignment horizontal="left" wrapText="1"/>
    </xf>
    <xf numFmtId="43" fontId="166" fillId="45" borderId="80" xfId="698" applyFont="1" applyFill="1" applyBorder="1" applyAlignment="1" applyProtection="1">
      <alignment horizontal="center"/>
      <protection hidden="1"/>
    </xf>
    <xf numFmtId="43" fontId="166" fillId="45" borderId="79" xfId="698" applyFont="1" applyFill="1" applyBorder="1" applyAlignment="1" applyProtection="1">
      <alignment horizontal="center"/>
      <protection hidden="1"/>
    </xf>
    <xf numFmtId="43" fontId="166" fillId="45" borderId="78" xfId="698" applyFont="1" applyFill="1" applyBorder="1" applyAlignment="1" applyProtection="1">
      <alignment horizontal="center"/>
      <protection hidden="1"/>
    </xf>
    <xf numFmtId="43" fontId="170" fillId="49" borderId="66" xfId="698" applyFont="1" applyFill="1" applyBorder="1" applyAlignment="1" applyProtection="1">
      <alignment horizontal="center" wrapText="1"/>
      <protection hidden="1"/>
    </xf>
    <xf numFmtId="43" fontId="170" fillId="49" borderId="0" xfId="698" applyFont="1" applyFill="1" applyBorder="1" applyAlignment="1" applyProtection="1">
      <alignment horizontal="center" wrapText="1"/>
      <protection hidden="1"/>
    </xf>
    <xf numFmtId="43" fontId="170" fillId="49" borderId="12" xfId="698" applyFont="1" applyFill="1" applyBorder="1" applyAlignment="1" applyProtection="1">
      <alignment horizontal="center" wrapText="1"/>
      <protection hidden="1"/>
    </xf>
    <xf numFmtId="43" fontId="170" fillId="49" borderId="83" xfId="698" applyFont="1" applyFill="1" applyBorder="1" applyAlignment="1" applyProtection="1">
      <alignment horizontal="center" wrapText="1"/>
      <protection hidden="1"/>
    </xf>
    <xf numFmtId="43" fontId="170" fillId="49" borderId="6" xfId="698" applyFont="1" applyFill="1" applyBorder="1" applyAlignment="1" applyProtection="1">
      <alignment horizontal="center" wrapText="1"/>
      <protection hidden="1"/>
    </xf>
    <xf numFmtId="43" fontId="170" fillId="49" borderId="10" xfId="698" applyFont="1" applyFill="1" applyBorder="1" applyAlignment="1" applyProtection="1">
      <alignment horizontal="center" wrapText="1"/>
      <protection hidden="1"/>
    </xf>
    <xf numFmtId="43" fontId="170" fillId="49" borderId="8" xfId="698" applyFont="1" applyFill="1" applyBorder="1" applyAlignment="1" applyProtection="1">
      <alignment horizontal="center" wrapText="1"/>
      <protection hidden="1"/>
    </xf>
    <xf numFmtId="43" fontId="170" fillId="49" borderId="9" xfId="698" applyFont="1" applyFill="1" applyBorder="1" applyAlignment="1" applyProtection="1">
      <alignment horizontal="center" wrapText="1"/>
      <protection hidden="1"/>
    </xf>
    <xf numFmtId="14" fontId="170" fillId="0" borderId="8" xfId="700" applyNumberFormat="1" applyFont="1" applyFill="1" applyBorder="1" applyAlignment="1" applyProtection="1">
      <alignment horizontal="center" wrapText="1"/>
      <protection hidden="1"/>
    </xf>
    <xf numFmtId="14" fontId="170" fillId="0" borderId="0" xfId="700" applyNumberFormat="1" applyFont="1" applyFill="1" applyBorder="1" applyAlignment="1" applyProtection="1">
      <alignment horizontal="center" wrapText="1"/>
      <protection hidden="1"/>
    </xf>
    <xf numFmtId="14" fontId="170" fillId="0" borderId="12" xfId="700" applyNumberFormat="1" applyFont="1" applyFill="1" applyBorder="1" applyAlignment="1" applyProtection="1">
      <alignment horizontal="center" wrapText="1"/>
      <protection hidden="1"/>
    </xf>
    <xf numFmtId="14" fontId="170" fillId="0" borderId="9" xfId="700" applyNumberFormat="1" applyFont="1" applyFill="1" applyBorder="1" applyAlignment="1" applyProtection="1">
      <alignment horizontal="center" wrapText="1"/>
      <protection hidden="1"/>
    </xf>
    <xf numFmtId="14" fontId="170" fillId="0" borderId="6" xfId="700" applyNumberFormat="1" applyFont="1" applyFill="1" applyBorder="1" applyAlignment="1" applyProtection="1">
      <alignment horizontal="center" wrapText="1"/>
      <protection hidden="1"/>
    </xf>
    <xf numFmtId="14" fontId="170" fillId="0" borderId="10" xfId="700" applyNumberFormat="1" applyFont="1" applyFill="1" applyBorder="1" applyAlignment="1" applyProtection="1">
      <alignment horizontal="center" wrapText="1"/>
      <protection hidden="1"/>
    </xf>
    <xf numFmtId="44" fontId="170" fillId="0" borderId="8" xfId="700" applyFont="1" applyBorder="1" applyAlignment="1" applyProtection="1">
      <alignment horizontal="center" wrapText="1"/>
      <protection hidden="1"/>
    </xf>
    <xf numFmtId="44" fontId="170" fillId="0" borderId="0" xfId="700" applyFont="1" applyBorder="1" applyAlignment="1" applyProtection="1">
      <alignment horizontal="center" wrapText="1"/>
      <protection hidden="1"/>
    </xf>
    <xf numFmtId="44" fontId="170" fillId="0" borderId="12" xfId="700" applyFont="1" applyBorder="1" applyAlignment="1" applyProtection="1">
      <alignment horizontal="center" wrapText="1"/>
      <protection hidden="1"/>
    </xf>
    <xf numFmtId="44" fontId="170" fillId="0" borderId="9" xfId="700" applyFont="1" applyBorder="1" applyAlignment="1" applyProtection="1">
      <alignment horizontal="center" wrapText="1"/>
      <protection hidden="1"/>
    </xf>
    <xf numFmtId="44" fontId="170" fillId="0" borderId="6" xfId="700" applyFont="1" applyBorder="1" applyAlignment="1" applyProtection="1">
      <alignment horizontal="center" wrapText="1"/>
      <protection hidden="1"/>
    </xf>
    <xf numFmtId="44" fontId="170" fillId="0" borderId="10" xfId="700" applyFont="1" applyBorder="1" applyAlignment="1" applyProtection="1">
      <alignment horizontal="center" wrapText="1"/>
      <protection hidden="1"/>
    </xf>
    <xf numFmtId="43" fontId="170" fillId="49" borderId="41" xfId="698" applyFont="1" applyFill="1" applyBorder="1" applyAlignment="1" applyProtection="1">
      <alignment horizontal="center" wrapText="1"/>
      <protection hidden="1"/>
    </xf>
    <xf numFmtId="43" fontId="170" fillId="49" borderId="82" xfId="698" applyFont="1" applyFill="1" applyBorder="1" applyAlignment="1" applyProtection="1">
      <alignment horizontal="center" wrapText="1"/>
      <protection hidden="1"/>
    </xf>
    <xf numFmtId="0" fontId="172" fillId="45" borderId="11" xfId="8736" applyFont="1" applyFill="1" applyBorder="1" applyAlignment="1">
      <alignment horizontal="left"/>
    </xf>
    <xf numFmtId="182" fontId="2" fillId="48" borderId="11" xfId="700" applyNumberFormat="1" applyFont="1" applyFill="1" applyBorder="1" applyAlignment="1" applyProtection="1">
      <alignment horizontal="center"/>
      <protection locked="0"/>
    </xf>
    <xf numFmtId="10" fontId="172" fillId="48" borderId="11" xfId="1022" applyNumberFormat="1" applyFont="1" applyFill="1" applyBorder="1" applyAlignment="1" applyProtection="1">
      <alignment horizontal="center"/>
      <protection locked="0"/>
    </xf>
    <xf numFmtId="182" fontId="2" fillId="0" borderId="13" xfId="8736" applyNumberFormat="1" applyBorder="1" applyAlignment="1">
      <alignment horizontal="center"/>
    </xf>
    <xf numFmtId="0" fontId="2" fillId="0" borderId="13" xfId="8736" applyBorder="1" applyAlignment="1">
      <alignment horizontal="center"/>
    </xf>
    <xf numFmtId="0" fontId="165" fillId="45" borderId="80" xfId="569" applyFont="1" applyFill="1" applyBorder="1" applyAlignment="1" applyProtection="1">
      <alignment horizontal="center" wrapText="1"/>
      <protection hidden="1"/>
    </xf>
    <xf numFmtId="0" fontId="165" fillId="45" borderId="79" xfId="569" applyFont="1" applyFill="1" applyBorder="1" applyAlignment="1" applyProtection="1">
      <alignment horizontal="center" wrapText="1"/>
      <protection hidden="1"/>
    </xf>
    <xf numFmtId="0" fontId="165" fillId="45" borderId="78" xfId="569" applyFont="1" applyFill="1" applyBorder="1" applyAlignment="1" applyProtection="1">
      <alignment horizontal="center" wrapText="1"/>
      <protection hidden="1"/>
    </xf>
    <xf numFmtId="0" fontId="165" fillId="45" borderId="13" xfId="569" applyFont="1" applyFill="1" applyBorder="1" applyAlignment="1" applyProtection="1">
      <alignment horizontal="left" wrapText="1"/>
      <protection hidden="1"/>
    </xf>
    <xf numFmtId="0" fontId="165" fillId="45" borderId="13" xfId="569" applyFont="1" applyFill="1" applyBorder="1" applyAlignment="1" applyProtection="1">
      <alignment horizontal="center" wrapText="1"/>
      <protection hidden="1"/>
    </xf>
    <xf numFmtId="0" fontId="174" fillId="45" borderId="67" xfId="8736" applyFont="1" applyFill="1" applyBorder="1" applyAlignment="1">
      <alignment horizontal="right"/>
    </xf>
    <xf numFmtId="0" fontId="174" fillId="45" borderId="68" xfId="8736" applyFont="1" applyFill="1" applyBorder="1" applyAlignment="1">
      <alignment horizontal="right"/>
    </xf>
    <xf numFmtId="168" fontId="169" fillId="44" borderId="68" xfId="700" applyNumberFormat="1" applyFont="1" applyFill="1" applyBorder="1" applyAlignment="1">
      <alignment horizontal="left"/>
    </xf>
    <xf numFmtId="168" fontId="169" fillId="44" borderId="71" xfId="700" applyNumberFormat="1" applyFont="1" applyFill="1" applyBorder="1" applyAlignment="1">
      <alignment horizontal="left"/>
    </xf>
    <xf numFmtId="0" fontId="171" fillId="48" borderId="66" xfId="8736" applyFont="1" applyFill="1" applyBorder="1" applyAlignment="1">
      <alignment horizontal="left" wrapText="1"/>
    </xf>
    <xf numFmtId="0" fontId="171" fillId="48" borderId="0" xfId="8736" applyFont="1" applyFill="1" applyAlignment="1">
      <alignment horizontal="left" wrapText="1"/>
    </xf>
    <xf numFmtId="0" fontId="171" fillId="48" borderId="41" xfId="8736" applyFont="1" applyFill="1" applyBorder="1" applyAlignment="1">
      <alignment horizontal="left" wrapText="1"/>
    </xf>
    <xf numFmtId="0" fontId="171" fillId="48" borderId="73" xfId="8736" applyFont="1" applyFill="1" applyBorder="1" applyAlignment="1">
      <alignment horizontal="left" wrapText="1"/>
    </xf>
    <xf numFmtId="0" fontId="171" fillId="48" borderId="42" xfId="8736" applyFont="1" applyFill="1" applyBorder="1" applyAlignment="1">
      <alignment horizontal="left" wrapText="1"/>
    </xf>
    <xf numFmtId="0" fontId="171" fillId="48" borderId="44" xfId="8736" applyFont="1" applyFill="1" applyBorder="1" applyAlignment="1">
      <alignment horizontal="left" wrapText="1"/>
    </xf>
    <xf numFmtId="0" fontId="173" fillId="45" borderId="69" xfId="8736" applyFont="1" applyFill="1" applyBorder="1" applyAlignment="1">
      <alignment horizontal="right"/>
    </xf>
    <xf numFmtId="0" fontId="173" fillId="45" borderId="70" xfId="8736" applyFont="1" applyFill="1" applyBorder="1" applyAlignment="1">
      <alignment horizontal="right"/>
    </xf>
    <xf numFmtId="0" fontId="165" fillId="44" borderId="70" xfId="700" applyNumberFormat="1" applyFont="1" applyFill="1" applyBorder="1" applyAlignment="1">
      <alignment horizontal="left"/>
    </xf>
    <xf numFmtId="168" fontId="165" fillId="44" borderId="70" xfId="700" applyNumberFormat="1" applyFont="1" applyFill="1" applyBorder="1" applyAlignment="1">
      <alignment horizontal="left"/>
    </xf>
    <xf numFmtId="168" fontId="165" fillId="44" borderId="77" xfId="700" applyNumberFormat="1" applyFont="1" applyFill="1" applyBorder="1" applyAlignment="1">
      <alignment horizontal="left"/>
    </xf>
    <xf numFmtId="0" fontId="166" fillId="47" borderId="0" xfId="8736" applyFont="1" applyFill="1" applyAlignment="1">
      <alignment horizontal="right"/>
    </xf>
    <xf numFmtId="168" fontId="170" fillId="47" borderId="0" xfId="700" applyNumberFormat="1" applyFont="1" applyFill="1" applyBorder="1" applyAlignment="1" applyProtection="1">
      <alignment horizontal="left"/>
      <protection locked="0"/>
    </xf>
    <xf numFmtId="0" fontId="172" fillId="48" borderId="87" xfId="8736" applyFont="1" applyFill="1" applyBorder="1" applyAlignment="1" applyProtection="1">
      <alignment horizontal="center"/>
      <protection locked="0"/>
    </xf>
    <xf numFmtId="0" fontId="172" fillId="48" borderId="86" xfId="8736" applyFont="1" applyFill="1" applyBorder="1" applyAlignment="1" applyProtection="1">
      <alignment horizontal="center"/>
      <protection locked="0"/>
    </xf>
    <xf numFmtId="0" fontId="174" fillId="48" borderId="70" xfId="8736" applyFont="1" applyFill="1" applyBorder="1" applyAlignment="1" applyProtection="1">
      <alignment horizontal="left"/>
      <protection locked="0"/>
    </xf>
    <xf numFmtId="0" fontId="174" fillId="48" borderId="77" xfId="8736" applyFont="1" applyFill="1" applyBorder="1" applyAlignment="1" applyProtection="1">
      <alignment horizontal="left"/>
      <protection locked="0"/>
    </xf>
    <xf numFmtId="168" fontId="172" fillId="48" borderId="86" xfId="700" applyNumberFormat="1" applyFont="1" applyFill="1" applyBorder="1" applyAlignment="1" applyProtection="1">
      <alignment horizontal="left"/>
      <protection locked="0"/>
    </xf>
    <xf numFmtId="168" fontId="172" fillId="48" borderId="85" xfId="700" applyNumberFormat="1" applyFont="1" applyFill="1" applyBorder="1" applyAlignment="1" applyProtection="1">
      <alignment horizontal="left"/>
      <protection locked="0"/>
    </xf>
    <xf numFmtId="0" fontId="172" fillId="48" borderId="87" xfId="8736" applyFont="1" applyFill="1" applyBorder="1" applyAlignment="1" applyProtection="1">
      <alignment horizontal="left"/>
      <protection locked="0"/>
    </xf>
    <xf numFmtId="0" fontId="172" fillId="48" borderId="86" xfId="8736" applyFont="1" applyFill="1" applyBorder="1" applyAlignment="1" applyProtection="1">
      <alignment horizontal="left"/>
      <protection locked="0"/>
    </xf>
    <xf numFmtId="0" fontId="172" fillId="48" borderId="85" xfId="8736" applyFont="1" applyFill="1" applyBorder="1" applyAlignment="1" applyProtection="1">
      <alignment horizontal="left"/>
      <protection locked="0"/>
    </xf>
    <xf numFmtId="0" fontId="103" fillId="48" borderId="80" xfId="8736" applyFont="1" applyFill="1" applyBorder="1" applyAlignment="1">
      <alignment horizontal="left"/>
    </xf>
    <xf numFmtId="0" fontId="103" fillId="48" borderId="79" xfId="8736" applyFont="1" applyFill="1" applyBorder="1" applyAlignment="1">
      <alignment horizontal="left"/>
    </xf>
    <xf numFmtId="44" fontId="2" fillId="48" borderId="84" xfId="700" applyFont="1" applyFill="1" applyBorder="1" applyAlignment="1" applyProtection="1">
      <alignment horizontal="center"/>
      <protection locked="0"/>
    </xf>
    <xf numFmtId="0" fontId="172" fillId="48" borderId="72" xfId="8736" applyFont="1" applyFill="1" applyBorder="1" applyAlignment="1" applyProtection="1">
      <alignment horizontal="center"/>
      <protection locked="0"/>
    </xf>
    <xf numFmtId="0" fontId="172" fillId="48" borderId="11" xfId="8736" applyFont="1" applyFill="1" applyBorder="1" applyAlignment="1" applyProtection="1">
      <alignment horizontal="center"/>
      <protection locked="0"/>
    </xf>
    <xf numFmtId="0" fontId="174" fillId="48" borderId="11" xfId="8736" applyFont="1" applyFill="1" applyBorder="1" applyAlignment="1" applyProtection="1">
      <alignment horizontal="left"/>
      <protection locked="0"/>
    </xf>
    <xf numFmtId="168" fontId="172" fillId="48" borderId="11" xfId="700" applyNumberFormat="1" applyFont="1" applyFill="1" applyBorder="1" applyAlignment="1" applyProtection="1">
      <alignment horizontal="left"/>
      <protection locked="0"/>
    </xf>
    <xf numFmtId="0" fontId="172" fillId="48" borderId="11" xfId="8736" applyFont="1" applyFill="1" applyBorder="1" applyAlignment="1" applyProtection="1">
      <alignment horizontal="left"/>
      <protection locked="0"/>
    </xf>
    <xf numFmtId="0" fontId="172" fillId="48" borderId="76" xfId="8736" applyFont="1" applyFill="1" applyBorder="1" applyAlignment="1" applyProtection="1">
      <alignment horizontal="left"/>
      <protection locked="0"/>
    </xf>
    <xf numFmtId="0" fontId="2" fillId="48" borderId="1" xfId="8736" applyFill="1" applyBorder="1" applyAlignment="1">
      <alignment horizontal="center"/>
    </xf>
    <xf numFmtId="0" fontId="2" fillId="48" borderId="2" xfId="8736" applyFill="1" applyBorder="1" applyAlignment="1">
      <alignment horizontal="center"/>
    </xf>
    <xf numFmtId="0" fontId="2" fillId="48" borderId="112" xfId="8736" applyFill="1" applyBorder="1" applyAlignment="1">
      <alignment horizontal="center"/>
    </xf>
    <xf numFmtId="0" fontId="174" fillId="48" borderId="72" xfId="8736" applyFont="1" applyFill="1" applyBorder="1" applyAlignment="1" applyProtection="1">
      <alignment horizontal="center"/>
      <protection locked="0"/>
    </xf>
    <xf numFmtId="0" fontId="174" fillId="48" borderId="11" xfId="8736" applyFont="1" applyFill="1" applyBorder="1" applyAlignment="1" applyProtection="1">
      <alignment horizontal="center"/>
      <protection locked="0"/>
    </xf>
    <xf numFmtId="43" fontId="169" fillId="50" borderId="72" xfId="698" applyFont="1" applyFill="1" applyBorder="1" applyAlignment="1" applyProtection="1">
      <alignment horizontal="left" wrapText="1"/>
      <protection hidden="1"/>
    </xf>
    <xf numFmtId="43" fontId="169" fillId="50" borderId="11" xfId="698" applyFont="1" applyFill="1" applyBorder="1" applyAlignment="1" applyProtection="1">
      <alignment horizontal="left" wrapText="1"/>
      <protection hidden="1"/>
    </xf>
    <xf numFmtId="44" fontId="2" fillId="48" borderId="11" xfId="700" applyFont="1" applyFill="1" applyBorder="1" applyAlignment="1" applyProtection="1">
      <alignment horizontal="center"/>
      <protection hidden="1"/>
    </xf>
    <xf numFmtId="43" fontId="166" fillId="50" borderId="111" xfId="698" applyFont="1" applyFill="1" applyBorder="1" applyAlignment="1" applyProtection="1">
      <alignment horizontal="center"/>
      <protection hidden="1"/>
    </xf>
    <xf numFmtId="43" fontId="166" fillId="50" borderId="84" xfId="698" applyFont="1" applyFill="1" applyBorder="1" applyAlignment="1" applyProtection="1">
      <alignment horizontal="center"/>
      <protection hidden="1"/>
    </xf>
    <xf numFmtId="43" fontId="166" fillId="50" borderId="102" xfId="698" applyFont="1" applyFill="1" applyBorder="1" applyAlignment="1" applyProtection="1">
      <alignment horizontal="center"/>
      <protection hidden="1"/>
    </xf>
    <xf numFmtId="0" fontId="172" fillId="45" borderId="72" xfId="8736" applyFont="1" applyFill="1" applyBorder="1" applyAlignment="1">
      <alignment horizontal="right"/>
    </xf>
    <xf numFmtId="0" fontId="172" fillId="45" borderId="11" xfId="8736" applyFont="1" applyFill="1" applyBorder="1" applyAlignment="1">
      <alignment horizontal="right"/>
    </xf>
    <xf numFmtId="43" fontId="169" fillId="50" borderId="98" xfId="698" applyFont="1" applyFill="1" applyBorder="1" applyAlignment="1" applyProtection="1">
      <alignment horizontal="left"/>
      <protection hidden="1"/>
    </xf>
    <xf numFmtId="43" fontId="169" fillId="50" borderId="13" xfId="698" applyFont="1" applyFill="1" applyBorder="1" applyAlignment="1" applyProtection="1">
      <alignment horizontal="left"/>
      <protection hidden="1"/>
    </xf>
    <xf numFmtId="44" fontId="2" fillId="48" borderId="13" xfId="700" applyFont="1" applyFill="1" applyBorder="1" applyAlignment="1" applyProtection="1">
      <alignment horizontal="center"/>
      <protection locked="0"/>
    </xf>
    <xf numFmtId="0" fontId="172" fillId="48" borderId="9" xfId="8736" applyFont="1" applyFill="1" applyBorder="1" applyAlignment="1">
      <alignment horizontal="center"/>
    </xf>
    <xf numFmtId="0" fontId="172" fillId="48" borderId="6" xfId="8736" applyFont="1" applyFill="1" applyBorder="1" applyAlignment="1">
      <alignment horizontal="center"/>
    </xf>
    <xf numFmtId="0" fontId="172" fillId="48" borderId="82" xfId="8736" applyFont="1" applyFill="1" applyBorder="1" applyAlignment="1">
      <alignment horizontal="center"/>
    </xf>
    <xf numFmtId="0" fontId="2" fillId="48" borderId="3" xfId="8736" applyFill="1" applyBorder="1" applyAlignment="1">
      <alignment horizontal="center"/>
    </xf>
    <xf numFmtId="0" fontId="2" fillId="48" borderId="4" xfId="8736" applyFill="1" applyBorder="1" applyAlignment="1">
      <alignment horizontal="center"/>
    </xf>
    <xf numFmtId="0" fontId="2" fillId="48" borderId="81" xfId="8736" applyFill="1" applyBorder="1" applyAlignment="1">
      <alignment horizontal="center"/>
    </xf>
    <xf numFmtId="168" fontId="174" fillId="44" borderId="11" xfId="700" applyNumberFormat="1" applyFont="1" applyFill="1" applyBorder="1" applyAlignment="1">
      <alignment horizontal="left"/>
    </xf>
    <xf numFmtId="0" fontId="103" fillId="45" borderId="65" xfId="8736" applyFont="1" applyFill="1" applyBorder="1" applyAlignment="1">
      <alignment horizontal="left" wrapText="1"/>
    </xf>
    <xf numFmtId="0" fontId="103" fillId="45" borderId="29" xfId="8736" applyFont="1" applyFill="1" applyBorder="1" applyAlignment="1">
      <alignment horizontal="left" wrapText="1"/>
    </xf>
    <xf numFmtId="0" fontId="103" fillId="45" borderId="31" xfId="8736" applyFont="1" applyFill="1" applyBorder="1" applyAlignment="1">
      <alignment horizontal="left" wrapText="1"/>
    </xf>
    <xf numFmtId="0" fontId="103" fillId="45" borderId="73" xfId="8736" applyFont="1" applyFill="1" applyBorder="1" applyAlignment="1">
      <alignment horizontal="left" wrapText="1"/>
    </xf>
    <xf numFmtId="0" fontId="103" fillId="45" borderId="42" xfId="8736" applyFont="1" applyFill="1" applyBorder="1" applyAlignment="1">
      <alignment horizontal="left" wrapText="1"/>
    </xf>
    <xf numFmtId="0" fontId="103" fillId="45" borderId="44" xfId="8736" applyFont="1" applyFill="1" applyBorder="1" applyAlignment="1">
      <alignment horizontal="left" wrapText="1"/>
    </xf>
    <xf numFmtId="43" fontId="169" fillId="50" borderId="72" xfId="698" applyFont="1" applyFill="1" applyBorder="1" applyAlignment="1" applyProtection="1">
      <alignment horizontal="left"/>
      <protection hidden="1"/>
    </xf>
    <xf numFmtId="43" fontId="169" fillId="50" borderId="11" xfId="698" applyFont="1" applyFill="1" applyBorder="1" applyAlignment="1" applyProtection="1">
      <alignment horizontal="left"/>
      <protection hidden="1"/>
    </xf>
    <xf numFmtId="44" fontId="2" fillId="48" borderId="11" xfId="700" applyFont="1" applyFill="1" applyBorder="1" applyAlignment="1" applyProtection="1">
      <alignment horizontal="center"/>
      <protection locked="0"/>
    </xf>
    <xf numFmtId="0" fontId="103" fillId="45" borderId="67" xfId="8736" applyFont="1" applyFill="1" applyBorder="1" applyAlignment="1">
      <alignment horizontal="center"/>
    </xf>
    <xf numFmtId="0" fontId="103" fillId="45" borderId="68" xfId="8736" applyFont="1" applyFill="1" applyBorder="1" applyAlignment="1">
      <alignment horizontal="center"/>
    </xf>
    <xf numFmtId="0" fontId="166" fillId="45" borderId="68" xfId="8736" applyFont="1" applyFill="1" applyBorder="1" applyAlignment="1">
      <alignment horizontal="center"/>
    </xf>
    <xf numFmtId="0" fontId="166" fillId="45" borderId="71" xfId="8736" applyFont="1" applyFill="1" applyBorder="1" applyAlignment="1">
      <alignment horizontal="center"/>
    </xf>
    <xf numFmtId="0" fontId="173" fillId="51" borderId="11" xfId="8736" applyFont="1" applyFill="1" applyBorder="1" applyAlignment="1">
      <alignment horizontal="center"/>
    </xf>
    <xf numFmtId="0" fontId="173" fillId="51" borderId="76" xfId="8736" applyFont="1" applyFill="1" applyBorder="1" applyAlignment="1">
      <alignment horizontal="center"/>
    </xf>
    <xf numFmtId="0" fontId="174" fillId="45" borderId="72" xfId="8736" applyFont="1" applyFill="1" applyBorder="1" applyAlignment="1">
      <alignment horizontal="right"/>
    </xf>
    <xf numFmtId="0" fontId="174" fillId="45" borderId="11" xfId="8736" applyFont="1" applyFill="1" applyBorder="1" applyAlignment="1">
      <alignment horizontal="right"/>
    </xf>
    <xf numFmtId="168" fontId="174" fillId="48" borderId="11" xfId="700" applyNumberFormat="1" applyFont="1" applyFill="1" applyBorder="1" applyAlignment="1" applyProtection="1">
      <alignment horizontal="left"/>
      <protection locked="0"/>
    </xf>
    <xf numFmtId="168" fontId="172" fillId="44" borderId="11" xfId="700" applyNumberFormat="1" applyFont="1" applyFill="1" applyBorder="1" applyAlignment="1" applyProtection="1">
      <alignment horizontal="left"/>
      <protection locked="0"/>
    </xf>
    <xf numFmtId="0" fontId="103" fillId="45" borderId="71" xfId="8736" applyFont="1" applyFill="1" applyBorder="1" applyAlignment="1">
      <alignment horizontal="center"/>
    </xf>
    <xf numFmtId="0" fontId="166" fillId="45" borderId="67" xfId="8736" applyFont="1" applyFill="1" applyBorder="1" applyAlignment="1">
      <alignment horizontal="left"/>
    </xf>
    <xf numFmtId="0" fontId="166" fillId="45" borderId="68" xfId="8736" applyFont="1" applyFill="1" applyBorder="1" applyAlignment="1">
      <alignment horizontal="left"/>
    </xf>
    <xf numFmtId="0" fontId="166" fillId="45" borderId="71" xfId="8736" applyFont="1" applyFill="1" applyBorder="1" applyAlignment="1">
      <alignment horizontal="left"/>
    </xf>
    <xf numFmtId="0" fontId="103" fillId="45" borderId="72" xfId="8736" applyFont="1" applyFill="1" applyBorder="1" applyAlignment="1">
      <alignment horizontal="center"/>
    </xf>
    <xf numFmtId="0" fontId="103" fillId="45" borderId="11" xfId="8736" applyFont="1" applyFill="1" applyBorder="1" applyAlignment="1">
      <alignment horizontal="center"/>
    </xf>
    <xf numFmtId="0" fontId="103" fillId="45" borderId="76" xfId="8736" applyFont="1" applyFill="1" applyBorder="1" applyAlignment="1">
      <alignment horizontal="center"/>
    </xf>
    <xf numFmtId="0" fontId="172" fillId="48" borderId="72" xfId="8736" applyFont="1" applyFill="1" applyBorder="1" applyAlignment="1" applyProtection="1">
      <alignment horizontal="left" vertical="top"/>
      <protection locked="0"/>
    </xf>
    <xf numFmtId="0" fontId="172" fillId="48" borderId="11" xfId="8736" applyFont="1" applyFill="1" applyBorder="1" applyAlignment="1" applyProtection="1">
      <alignment horizontal="left" vertical="top"/>
      <protection locked="0"/>
    </xf>
    <xf numFmtId="0" fontId="172" fillId="48" borderId="76" xfId="8736" applyFont="1" applyFill="1" applyBorder="1" applyAlignment="1" applyProtection="1">
      <alignment horizontal="left" vertical="top"/>
      <protection locked="0"/>
    </xf>
    <xf numFmtId="0" fontId="172" fillId="48" borderId="69" xfId="8736" applyFont="1" applyFill="1" applyBorder="1" applyAlignment="1" applyProtection="1">
      <alignment horizontal="left" vertical="top"/>
      <protection locked="0"/>
    </xf>
    <xf numFmtId="0" fontId="172" fillId="48" borderId="70" xfId="8736" applyFont="1" applyFill="1" applyBorder="1" applyAlignment="1" applyProtection="1">
      <alignment horizontal="left" vertical="top"/>
      <protection locked="0"/>
    </xf>
    <xf numFmtId="0" fontId="172" fillId="48" borderId="77" xfId="8736" applyFont="1" applyFill="1" applyBorder="1" applyAlignment="1" applyProtection="1">
      <alignment horizontal="left" vertical="top"/>
      <protection locked="0"/>
    </xf>
    <xf numFmtId="14" fontId="172" fillId="48" borderId="11" xfId="8736" applyNumberFormat="1" applyFont="1" applyFill="1" applyBorder="1" applyAlignment="1" applyProtection="1">
      <alignment horizontal="center"/>
      <protection locked="0"/>
    </xf>
    <xf numFmtId="14" fontId="172" fillId="48" borderId="76" xfId="8736" applyNumberFormat="1" applyFont="1" applyFill="1" applyBorder="1" applyAlignment="1" applyProtection="1">
      <alignment horizontal="center"/>
      <protection locked="0"/>
    </xf>
    <xf numFmtId="0" fontId="172" fillId="48" borderId="69" xfId="8736" applyFont="1" applyFill="1" applyBorder="1" applyAlignment="1" applyProtection="1">
      <alignment horizontal="center"/>
      <protection locked="0"/>
    </xf>
    <xf numFmtId="0" fontId="172" fillId="48" borderId="70" xfId="8736" applyFont="1" applyFill="1" applyBorder="1" applyAlignment="1" applyProtection="1">
      <alignment horizontal="center"/>
      <protection locked="0"/>
    </xf>
    <xf numFmtId="14" fontId="172" fillId="48" borderId="70" xfId="8736" applyNumberFormat="1" applyFont="1" applyFill="1" applyBorder="1" applyAlignment="1" applyProtection="1">
      <alignment horizontal="center"/>
      <protection locked="0"/>
    </xf>
    <xf numFmtId="14" fontId="172" fillId="48" borderId="77" xfId="8736" applyNumberFormat="1" applyFont="1" applyFill="1" applyBorder="1" applyAlignment="1" applyProtection="1">
      <alignment horizontal="center"/>
      <protection locked="0"/>
    </xf>
    <xf numFmtId="0" fontId="171" fillId="45" borderId="72" xfId="8736" applyFont="1" applyFill="1" applyBorder="1" applyAlignment="1">
      <alignment horizontal="center"/>
    </xf>
    <xf numFmtId="0" fontId="171" fillId="45" borderId="11" xfId="8736" applyFont="1" applyFill="1" applyBorder="1" applyAlignment="1">
      <alignment horizontal="center"/>
    </xf>
    <xf numFmtId="0" fontId="175" fillId="48" borderId="11" xfId="8736" applyFont="1" applyFill="1" applyBorder="1" applyAlignment="1" applyProtection="1">
      <alignment horizontal="left"/>
      <protection locked="0"/>
    </xf>
    <xf numFmtId="14" fontId="174" fillId="48" borderId="11" xfId="8736" applyNumberFormat="1" applyFont="1" applyFill="1" applyBorder="1" applyAlignment="1" applyProtection="1">
      <alignment horizontal="center"/>
      <protection locked="0"/>
    </xf>
    <xf numFmtId="168" fontId="174" fillId="48" borderId="11" xfId="8737" applyNumberFormat="1" applyFont="1" applyFill="1" applyBorder="1" applyAlignment="1" applyProtection="1">
      <alignment horizontal="center"/>
      <protection locked="0"/>
    </xf>
    <xf numFmtId="168" fontId="174" fillId="48" borderId="76" xfId="8737" applyNumberFormat="1" applyFont="1" applyFill="1" applyBorder="1" applyAlignment="1" applyProtection="1">
      <alignment horizontal="center"/>
      <protection locked="0"/>
    </xf>
    <xf numFmtId="0" fontId="171" fillId="45" borderId="69" xfId="8736" applyFont="1" applyFill="1" applyBorder="1" applyAlignment="1">
      <alignment horizontal="center"/>
    </xf>
    <xf numFmtId="0" fontId="171" fillId="45" borderId="70" xfId="8736" applyFont="1" applyFill="1" applyBorder="1" applyAlignment="1">
      <alignment horizontal="center"/>
    </xf>
    <xf numFmtId="0" fontId="175" fillId="48" borderId="70" xfId="8736" applyFont="1" applyFill="1" applyBorder="1" applyAlignment="1" applyProtection="1">
      <alignment horizontal="left"/>
      <protection locked="0"/>
    </xf>
    <xf numFmtId="0" fontId="174" fillId="48" borderId="70" xfId="8736" applyFont="1" applyFill="1" applyBorder="1" applyAlignment="1" applyProtection="1">
      <alignment horizontal="center"/>
      <protection locked="0"/>
    </xf>
    <xf numFmtId="14" fontId="174" fillId="48" borderId="70" xfId="8736" applyNumberFormat="1" applyFont="1" applyFill="1" applyBorder="1" applyAlignment="1" applyProtection="1">
      <alignment horizontal="center"/>
      <protection locked="0"/>
    </xf>
    <xf numFmtId="168" fontId="174" fillId="48" borderId="70" xfId="8737" applyNumberFormat="1" applyFont="1" applyFill="1" applyBorder="1" applyAlignment="1" applyProtection="1">
      <alignment horizontal="center"/>
      <protection locked="0"/>
    </xf>
    <xf numFmtId="168" fontId="174" fillId="48" borderId="77" xfId="8737" applyNumberFormat="1" applyFont="1" applyFill="1" applyBorder="1" applyAlignment="1" applyProtection="1">
      <alignment horizontal="center"/>
      <protection locked="0"/>
    </xf>
    <xf numFmtId="0" fontId="176" fillId="45" borderId="69" xfId="8736" applyFont="1" applyFill="1" applyBorder="1" applyAlignment="1">
      <alignment horizontal="left"/>
    </xf>
    <xf numFmtId="0" fontId="176" fillId="45" borderId="70" xfId="8736" applyFont="1" applyFill="1" applyBorder="1" applyAlignment="1">
      <alignment horizontal="left"/>
    </xf>
    <xf numFmtId="0" fontId="2" fillId="48" borderId="70" xfId="8736" applyFill="1" applyBorder="1" applyAlignment="1" applyProtection="1">
      <alignment horizontal="center"/>
      <protection locked="0"/>
    </xf>
    <xf numFmtId="0" fontId="2" fillId="48" borderId="77" xfId="8736" applyFill="1" applyBorder="1" applyAlignment="1" applyProtection="1">
      <alignment horizontal="center"/>
      <protection locked="0"/>
    </xf>
    <xf numFmtId="0" fontId="166" fillId="45" borderId="67" xfId="8736" applyFont="1" applyFill="1" applyBorder="1" applyAlignment="1">
      <alignment horizontal="center"/>
    </xf>
    <xf numFmtId="0" fontId="165" fillId="45" borderId="11" xfId="8736" applyFont="1" applyFill="1" applyBorder="1" applyAlignment="1">
      <alignment horizontal="center"/>
    </xf>
    <xf numFmtId="0" fontId="176" fillId="45" borderId="72" xfId="8736" applyFont="1" applyFill="1" applyBorder="1" applyAlignment="1">
      <alignment horizontal="left"/>
    </xf>
    <xf numFmtId="0" fontId="176" fillId="45" borderId="11" xfId="8736" applyFont="1" applyFill="1" applyBorder="1" applyAlignment="1">
      <alignment horizontal="left"/>
    </xf>
    <xf numFmtId="0" fontId="2" fillId="48" borderId="11" xfId="8736" applyFill="1" applyBorder="1" applyAlignment="1" applyProtection="1">
      <alignment horizontal="center"/>
      <protection locked="0"/>
    </xf>
    <xf numFmtId="0" fontId="2" fillId="48" borderId="76" xfId="8736" applyFill="1" applyBorder="1" applyAlignment="1" applyProtection="1">
      <alignment horizontal="center"/>
      <protection locked="0"/>
    </xf>
    <xf numFmtId="0" fontId="165" fillId="45" borderId="11" xfId="8736" applyFont="1" applyFill="1" applyBorder="1" applyAlignment="1">
      <alignment horizontal="center" wrapText="1"/>
    </xf>
    <xf numFmtId="0" fontId="165" fillId="45" borderId="76" xfId="8736" applyFont="1" applyFill="1" applyBorder="1" applyAlignment="1">
      <alignment horizontal="center" wrapText="1"/>
    </xf>
    <xf numFmtId="0" fontId="165" fillId="48" borderId="90" xfId="8736" applyFont="1" applyFill="1" applyBorder="1" applyAlignment="1">
      <alignment horizontal="left"/>
    </xf>
    <xf numFmtId="0" fontId="165" fillId="48" borderId="4" xfId="8736" applyFont="1" applyFill="1" applyBorder="1" applyAlignment="1">
      <alignment horizontal="left"/>
    </xf>
    <xf numFmtId="0" fontId="165" fillId="48" borderId="5" xfId="8736" applyFont="1" applyFill="1" applyBorder="1" applyAlignment="1">
      <alignment horizontal="left"/>
    </xf>
    <xf numFmtId="0" fontId="169" fillId="48" borderId="68" xfId="8736" applyFont="1" applyFill="1" applyBorder="1" applyAlignment="1" applyProtection="1">
      <alignment horizontal="left"/>
      <protection locked="0"/>
    </xf>
    <xf numFmtId="0" fontId="169" fillId="48" borderId="71" xfId="8736" applyFont="1" applyFill="1" applyBorder="1" applyAlignment="1" applyProtection="1">
      <alignment horizontal="left"/>
      <protection locked="0"/>
    </xf>
    <xf numFmtId="0" fontId="165" fillId="45" borderId="72" xfId="8736" applyFont="1" applyFill="1" applyBorder="1" applyAlignment="1">
      <alignment horizontal="left"/>
    </xf>
    <xf numFmtId="0" fontId="165" fillId="45" borderId="11" xfId="8736" applyFont="1" applyFill="1" applyBorder="1" applyAlignment="1">
      <alignment horizontal="left"/>
    </xf>
    <xf numFmtId="0" fontId="177" fillId="48" borderId="11" xfId="8736" applyFont="1" applyFill="1" applyBorder="1" applyAlignment="1" applyProtection="1">
      <alignment horizontal="left"/>
      <protection locked="0"/>
    </xf>
    <xf numFmtId="0" fontId="177" fillId="48" borderId="76" xfId="8736" applyFont="1" applyFill="1" applyBorder="1" applyAlignment="1" applyProtection="1">
      <alignment horizontal="left"/>
      <protection locked="0"/>
    </xf>
    <xf numFmtId="0" fontId="174" fillId="48" borderId="72" xfId="8736" applyFont="1" applyFill="1" applyBorder="1" applyAlignment="1" applyProtection="1">
      <alignment horizontal="left" vertical="top"/>
      <protection locked="0"/>
    </xf>
    <xf numFmtId="0" fontId="174" fillId="48" borderId="11" xfId="8736" applyFont="1" applyFill="1" applyBorder="1" applyAlignment="1" applyProtection="1">
      <alignment horizontal="left" vertical="top"/>
      <protection locked="0"/>
    </xf>
    <xf numFmtId="0" fontId="174" fillId="48" borderId="76" xfId="8736" applyFont="1" applyFill="1" applyBorder="1" applyAlignment="1" applyProtection="1">
      <alignment horizontal="left" vertical="top"/>
      <protection locked="0"/>
    </xf>
    <xf numFmtId="0" fontId="174" fillId="48" borderId="69" xfId="8736" applyFont="1" applyFill="1" applyBorder="1" applyAlignment="1" applyProtection="1">
      <alignment horizontal="left" vertical="top"/>
      <protection locked="0"/>
    </xf>
    <xf numFmtId="0" fontId="174" fillId="48" borderId="70" xfId="8736" applyFont="1" applyFill="1" applyBorder="1" applyAlignment="1" applyProtection="1">
      <alignment horizontal="left" vertical="top"/>
      <protection locked="0"/>
    </xf>
    <xf numFmtId="0" fontId="174" fillId="48" borderId="77" xfId="8736" applyFont="1" applyFill="1" applyBorder="1" applyAlignment="1" applyProtection="1">
      <alignment horizontal="left" vertical="top"/>
      <protection locked="0"/>
    </xf>
    <xf numFmtId="0" fontId="165" fillId="45" borderId="67" xfId="8736" applyFont="1" applyFill="1" applyBorder="1" applyAlignment="1">
      <alignment horizontal="left"/>
    </xf>
    <xf numFmtId="0" fontId="165" fillId="45" borderId="68" xfId="8736" applyFont="1" applyFill="1" applyBorder="1" applyAlignment="1">
      <alignment horizontal="left"/>
    </xf>
    <xf numFmtId="0" fontId="169" fillId="48" borderId="3" xfId="8736" applyFont="1" applyFill="1" applyBorder="1" applyAlignment="1" applyProtection="1">
      <alignment horizontal="center"/>
      <protection locked="0"/>
    </xf>
    <xf numFmtId="0" fontId="169" fillId="48" borderId="4" xfId="8736" applyFont="1" applyFill="1" applyBorder="1" applyAlignment="1" applyProtection="1">
      <alignment horizontal="center"/>
      <protection locked="0"/>
    </xf>
    <xf numFmtId="0" fontId="169" fillId="48" borderId="81" xfId="8736" applyFont="1" applyFill="1" applyBorder="1" applyAlignment="1" applyProtection="1">
      <alignment horizontal="center"/>
      <protection locked="0"/>
    </xf>
    <xf numFmtId="0" fontId="173" fillId="45" borderId="11" xfId="8736" applyFont="1" applyFill="1" applyBorder="1" applyAlignment="1">
      <alignment horizontal="center"/>
    </xf>
    <xf numFmtId="0" fontId="179" fillId="45" borderId="11" xfId="8736" applyFont="1" applyFill="1" applyBorder="1" applyAlignment="1">
      <alignment horizontal="left"/>
    </xf>
    <xf numFmtId="0" fontId="179" fillId="45" borderId="76" xfId="8736" applyFont="1" applyFill="1" applyBorder="1" applyAlignment="1">
      <alignment horizontal="left"/>
    </xf>
    <xf numFmtId="0" fontId="166" fillId="45" borderId="93" xfId="8736" applyFont="1" applyFill="1" applyBorder="1" applyAlignment="1">
      <alignment horizontal="center"/>
    </xf>
    <xf numFmtId="0" fontId="166" fillId="45" borderId="92" xfId="8736" applyFont="1" applyFill="1" applyBorder="1" applyAlignment="1">
      <alignment horizontal="center"/>
    </xf>
    <xf numFmtId="0" fontId="166" fillId="45" borderId="91" xfId="8736" applyFont="1" applyFill="1" applyBorder="1" applyAlignment="1">
      <alignment horizontal="center"/>
    </xf>
    <xf numFmtId="0" fontId="173" fillId="45" borderId="72" xfId="8736" applyFont="1" applyFill="1" applyBorder="1" applyAlignment="1">
      <alignment horizontal="center"/>
    </xf>
    <xf numFmtId="0" fontId="103" fillId="45" borderId="67" xfId="8736" applyFont="1" applyFill="1" applyBorder="1" applyAlignment="1" applyProtection="1">
      <alignment horizontal="left" vertical="center" wrapText="1"/>
      <protection locked="0"/>
    </xf>
    <xf numFmtId="0" fontId="103" fillId="45" borderId="68" xfId="8736" applyFont="1" applyFill="1" applyBorder="1" applyAlignment="1" applyProtection="1">
      <alignment horizontal="left" vertical="center" wrapText="1"/>
      <protection locked="0"/>
    </xf>
    <xf numFmtId="0" fontId="103" fillId="45" borderId="72" xfId="8736" applyFont="1" applyFill="1" applyBorder="1" applyAlignment="1" applyProtection="1">
      <alignment horizontal="left" vertical="center" wrapText="1"/>
      <protection locked="0"/>
    </xf>
    <xf numFmtId="0" fontId="103" fillId="45" borderId="11" xfId="8736" applyFont="1" applyFill="1" applyBorder="1" applyAlignment="1" applyProtection="1">
      <alignment horizontal="left" vertical="center" wrapText="1"/>
      <protection locked="0"/>
    </xf>
    <xf numFmtId="0" fontId="169" fillId="48" borderId="68" xfId="8736" applyFont="1" applyFill="1" applyBorder="1" applyAlignment="1" applyProtection="1">
      <alignment horizontal="left" vertical="center" wrapText="1"/>
      <protection locked="0"/>
    </xf>
    <xf numFmtId="0" fontId="169" fillId="48" borderId="71" xfId="8736" applyFont="1" applyFill="1" applyBorder="1" applyAlignment="1" applyProtection="1">
      <alignment horizontal="left" vertical="center" wrapText="1"/>
      <protection locked="0"/>
    </xf>
    <xf numFmtId="0" fontId="169" fillId="48" borderId="11" xfId="8736" applyFont="1" applyFill="1" applyBorder="1" applyAlignment="1" applyProtection="1">
      <alignment horizontal="left" vertical="center" wrapText="1"/>
      <protection locked="0"/>
    </xf>
    <xf numFmtId="0" fontId="169" fillId="48" borderId="76" xfId="8736" applyFont="1" applyFill="1" applyBorder="1" applyAlignment="1" applyProtection="1">
      <alignment horizontal="left" vertical="center" wrapText="1"/>
      <protection locked="0"/>
    </xf>
    <xf numFmtId="0" fontId="172" fillId="48" borderId="72" xfId="8736" applyFont="1" applyFill="1" applyBorder="1" applyAlignment="1" applyProtection="1">
      <alignment horizontal="left" vertical="top" wrapText="1"/>
      <protection locked="0"/>
    </xf>
    <xf numFmtId="0" fontId="172" fillId="48" borderId="11" xfId="8736" applyFont="1" applyFill="1" applyBorder="1" applyAlignment="1" applyProtection="1">
      <alignment horizontal="left" vertical="top" wrapText="1"/>
      <protection locked="0"/>
    </xf>
    <xf numFmtId="0" fontId="172" fillId="48" borderId="69" xfId="8736" applyFont="1" applyFill="1" applyBorder="1" applyAlignment="1" applyProtection="1">
      <alignment horizontal="left" vertical="top" wrapText="1"/>
      <protection locked="0"/>
    </xf>
    <xf numFmtId="0" fontId="172" fillId="48" borderId="70" xfId="8736" applyFont="1" applyFill="1" applyBorder="1" applyAlignment="1" applyProtection="1">
      <alignment horizontal="left" vertical="top" wrapText="1"/>
      <protection locked="0"/>
    </xf>
    <xf numFmtId="0" fontId="169" fillId="48" borderId="11" xfId="8736" applyFont="1" applyFill="1" applyBorder="1" applyAlignment="1" applyProtection="1">
      <alignment horizontal="center" vertical="center" wrapText="1"/>
      <protection locked="0"/>
    </xf>
    <xf numFmtId="0" fontId="169" fillId="48" borderId="76" xfId="8736" applyFont="1" applyFill="1" applyBorder="1" applyAlignment="1" applyProtection="1">
      <alignment horizontal="center" vertical="center" wrapText="1"/>
      <protection locked="0"/>
    </xf>
    <xf numFmtId="0" fontId="169" fillId="48" borderId="70" xfId="8736" applyFont="1" applyFill="1" applyBorder="1" applyAlignment="1" applyProtection="1">
      <alignment horizontal="center" vertical="center" wrapText="1"/>
      <protection locked="0"/>
    </xf>
    <xf numFmtId="0" fontId="169" fillId="48" borderId="77" xfId="8736" applyFont="1" applyFill="1" applyBorder="1" applyAlignment="1" applyProtection="1">
      <alignment horizontal="center" vertical="center" wrapText="1"/>
      <protection locked="0"/>
    </xf>
    <xf numFmtId="0" fontId="2" fillId="51" borderId="70" xfId="8736" applyFill="1" applyBorder="1" applyAlignment="1" applyProtection="1">
      <alignment horizontal="center"/>
      <protection locked="0"/>
    </xf>
    <xf numFmtId="0" fontId="2" fillId="51" borderId="77" xfId="8736" applyFill="1" applyBorder="1" applyAlignment="1" applyProtection="1">
      <alignment horizontal="center"/>
      <protection locked="0"/>
    </xf>
    <xf numFmtId="0" fontId="103" fillId="45" borderId="67" xfId="8736" applyFont="1" applyFill="1" applyBorder="1" applyAlignment="1">
      <alignment horizontal="left" wrapText="1"/>
    </xf>
    <xf numFmtId="0" fontId="103" fillId="45" borderId="68" xfId="8736" applyFont="1" applyFill="1" applyBorder="1" applyAlignment="1">
      <alignment horizontal="left" wrapText="1"/>
    </xf>
    <xf numFmtId="0" fontId="103" fillId="45" borderId="71" xfId="8736" applyFont="1" applyFill="1" applyBorder="1" applyAlignment="1">
      <alignment horizontal="left" wrapText="1"/>
    </xf>
    <xf numFmtId="0" fontId="103" fillId="45" borderId="72" xfId="8736" applyFont="1" applyFill="1" applyBorder="1" applyAlignment="1">
      <alignment horizontal="left" wrapText="1"/>
    </xf>
    <xf numFmtId="0" fontId="103" fillId="45" borderId="11" xfId="8736" applyFont="1" applyFill="1" applyBorder="1" applyAlignment="1">
      <alignment horizontal="left" wrapText="1"/>
    </xf>
    <xf numFmtId="0" fontId="103" fillId="45" borderId="76" xfId="8736" applyFont="1" applyFill="1" applyBorder="1" applyAlignment="1">
      <alignment horizontal="left" wrapText="1"/>
    </xf>
    <xf numFmtId="0" fontId="103" fillId="45" borderId="65" xfId="8736" applyFont="1" applyFill="1" applyBorder="1" applyAlignment="1">
      <alignment horizontal="center"/>
    </xf>
    <xf numFmtId="0" fontId="103" fillId="45" borderId="29" xfId="8736" applyFont="1" applyFill="1" applyBorder="1" applyAlignment="1">
      <alignment horizontal="center"/>
    </xf>
    <xf numFmtId="0" fontId="103" fillId="45" borderId="31" xfId="8736" applyFont="1" applyFill="1" applyBorder="1" applyAlignment="1">
      <alignment horizontal="center"/>
    </xf>
    <xf numFmtId="0" fontId="173" fillId="45" borderId="69" xfId="8736" applyFont="1" applyFill="1" applyBorder="1" applyAlignment="1">
      <alignment horizontal="center"/>
    </xf>
    <xf numFmtId="0" fontId="173" fillId="45" borderId="70" xfId="8736" applyFont="1" applyFill="1" applyBorder="1" applyAlignment="1">
      <alignment horizontal="center"/>
    </xf>
    <xf numFmtId="0" fontId="173" fillId="45" borderId="11" xfId="8736" applyFont="1" applyFill="1" applyBorder="1" applyAlignment="1">
      <alignment horizontal="center" wrapText="1"/>
    </xf>
    <xf numFmtId="0" fontId="165" fillId="45" borderId="76" xfId="8736" applyFont="1" applyFill="1" applyBorder="1" applyAlignment="1">
      <alignment horizontal="center"/>
    </xf>
    <xf numFmtId="0" fontId="2" fillId="48" borderId="9" xfId="8736" applyFill="1" applyBorder="1" applyAlignment="1" applyProtection="1">
      <alignment horizontal="center"/>
      <protection locked="0"/>
    </xf>
    <xf numFmtId="0" fontId="2" fillId="48" borderId="6" xfId="8736" applyFill="1" applyBorder="1" applyAlignment="1" applyProtection="1">
      <alignment horizontal="center"/>
      <protection locked="0"/>
    </xf>
    <xf numFmtId="0" fontId="2" fillId="48" borderId="82" xfId="8736" applyFill="1" applyBorder="1" applyAlignment="1" applyProtection="1">
      <alignment horizontal="center"/>
      <protection locked="0"/>
    </xf>
    <xf numFmtId="0" fontId="103" fillId="45" borderId="67" xfId="8736" applyFont="1" applyFill="1" applyBorder="1" applyAlignment="1">
      <alignment horizontal="center" wrapText="1"/>
    </xf>
    <xf numFmtId="0" fontId="103" fillId="45" borderId="68" xfId="8736" applyFont="1" applyFill="1" applyBorder="1" applyAlignment="1">
      <alignment horizontal="center" wrapText="1"/>
    </xf>
    <xf numFmtId="0" fontId="103" fillId="45" borderId="71" xfId="8736" applyFont="1" applyFill="1" applyBorder="1" applyAlignment="1">
      <alignment horizontal="center" wrapText="1"/>
    </xf>
    <xf numFmtId="0" fontId="169" fillId="48" borderId="68" xfId="8736" applyFont="1" applyFill="1" applyBorder="1" applyAlignment="1" applyProtection="1">
      <alignment horizontal="left" wrapText="1"/>
      <protection locked="0"/>
    </xf>
    <xf numFmtId="0" fontId="169" fillId="48" borderId="71" xfId="8736" applyFont="1" applyFill="1" applyBorder="1" applyAlignment="1" applyProtection="1">
      <alignment horizontal="left" wrapText="1"/>
      <protection locked="0"/>
    </xf>
    <xf numFmtId="0" fontId="169" fillId="48" borderId="11" xfId="8736" applyFont="1" applyFill="1" applyBorder="1" applyAlignment="1" applyProtection="1">
      <alignment horizontal="left" wrapText="1"/>
      <protection locked="0"/>
    </xf>
    <xf numFmtId="0" fontId="169" fillId="48" borderId="76" xfId="8736" applyFont="1" applyFill="1" applyBorder="1" applyAlignment="1" applyProtection="1">
      <alignment horizontal="left" wrapText="1"/>
      <protection locked="0"/>
    </xf>
    <xf numFmtId="0" fontId="174" fillId="48" borderId="72" xfId="8736" applyFont="1" applyFill="1" applyBorder="1" applyAlignment="1" applyProtection="1">
      <alignment horizontal="right"/>
      <protection locked="0"/>
    </xf>
    <xf numFmtId="0" fontId="174" fillId="48" borderId="11" xfId="8736" applyFont="1" applyFill="1" applyBorder="1" applyAlignment="1" applyProtection="1">
      <alignment horizontal="right"/>
      <protection locked="0"/>
    </xf>
    <xf numFmtId="168" fontId="174" fillId="48" borderId="76" xfId="700" applyNumberFormat="1" applyFont="1" applyFill="1" applyBorder="1" applyAlignment="1" applyProtection="1">
      <alignment horizontal="left"/>
      <protection locked="0"/>
    </xf>
    <xf numFmtId="0" fontId="166" fillId="45" borderId="98" xfId="8736" applyFont="1" applyFill="1" applyBorder="1" applyAlignment="1">
      <alignment horizontal="center"/>
    </xf>
    <xf numFmtId="0" fontId="166" fillId="45" borderId="13" xfId="8736" applyFont="1" applyFill="1" applyBorder="1" applyAlignment="1">
      <alignment horizontal="center"/>
    </xf>
    <xf numFmtId="0" fontId="172" fillId="48" borderId="72" xfId="8736" applyFont="1" applyFill="1" applyBorder="1" applyAlignment="1" applyProtection="1">
      <alignment horizontal="right"/>
      <protection locked="0"/>
    </xf>
    <xf numFmtId="0" fontId="172" fillId="48" borderId="11" xfId="8736" applyFont="1" applyFill="1" applyBorder="1" applyAlignment="1" applyProtection="1">
      <alignment horizontal="right"/>
      <protection locked="0"/>
    </xf>
    <xf numFmtId="0" fontId="166" fillId="45" borderId="89" xfId="8736" applyFont="1" applyFill="1" applyBorder="1" applyAlignment="1">
      <alignment horizontal="right"/>
    </xf>
    <xf numFmtId="0" fontId="166" fillId="45" borderId="43" xfId="8736" applyFont="1" applyFill="1" applyBorder="1" applyAlignment="1">
      <alignment horizontal="right"/>
    </xf>
    <xf numFmtId="168" fontId="166" fillId="45" borderId="43" xfId="8736" applyNumberFormat="1" applyFont="1" applyFill="1" applyBorder="1" applyAlignment="1">
      <alignment horizontal="left"/>
    </xf>
    <xf numFmtId="168" fontId="166" fillId="45" borderId="88" xfId="8736" applyNumberFormat="1" applyFont="1" applyFill="1" applyBorder="1" applyAlignment="1">
      <alignment horizontal="left"/>
    </xf>
    <xf numFmtId="0" fontId="172" fillId="48" borderId="68" xfId="8736" applyFont="1" applyFill="1" applyBorder="1" applyAlignment="1" applyProtection="1">
      <alignment horizontal="left"/>
      <protection locked="0"/>
    </xf>
    <xf numFmtId="0" fontId="172" fillId="48" borderId="71" xfId="8736" applyFont="1" applyFill="1" applyBorder="1" applyAlignment="1" applyProtection="1">
      <alignment horizontal="left"/>
      <protection locked="0"/>
    </xf>
    <xf numFmtId="0" fontId="166" fillId="45" borderId="69" xfId="8736" applyFont="1" applyFill="1" applyBorder="1" applyAlignment="1">
      <alignment horizontal="center"/>
    </xf>
    <xf numFmtId="0" fontId="166" fillId="45" borderId="70" xfId="8736" applyFont="1" applyFill="1" applyBorder="1" applyAlignment="1">
      <alignment horizontal="center"/>
    </xf>
    <xf numFmtId="0" fontId="172" fillId="48" borderId="70" xfId="8736" applyFont="1" applyFill="1" applyBorder="1" applyAlignment="1" applyProtection="1">
      <alignment horizontal="left"/>
      <protection locked="0"/>
    </xf>
    <xf numFmtId="0" fontId="172" fillId="48" borderId="77" xfId="8736" applyFont="1" applyFill="1" applyBorder="1" applyAlignment="1" applyProtection="1">
      <alignment horizontal="left"/>
      <protection locked="0"/>
    </xf>
    <xf numFmtId="0" fontId="169" fillId="48" borderId="74" xfId="8736" applyFont="1" applyFill="1" applyBorder="1" applyAlignment="1" applyProtection="1">
      <alignment horizontal="left"/>
      <protection locked="0"/>
    </xf>
    <xf numFmtId="0" fontId="166" fillId="45" borderId="72" xfId="8736" applyFont="1" applyFill="1" applyBorder="1" applyAlignment="1">
      <alignment horizontal="center"/>
    </xf>
    <xf numFmtId="0" fontId="166" fillId="45" borderId="11" xfId="8736" applyFont="1" applyFill="1" applyBorder="1" applyAlignment="1">
      <alignment horizontal="center"/>
    </xf>
    <xf numFmtId="0" fontId="166" fillId="45" borderId="3" xfId="8736" applyFont="1" applyFill="1" applyBorder="1" applyAlignment="1">
      <alignment horizontal="center"/>
    </xf>
    <xf numFmtId="0" fontId="166" fillId="45" borderId="4" xfId="8736" applyFont="1" applyFill="1" applyBorder="1" applyAlignment="1">
      <alignment horizontal="center"/>
    </xf>
    <xf numFmtId="0" fontId="166" fillId="45" borderId="81" xfId="8736" applyFont="1" applyFill="1" applyBorder="1" applyAlignment="1">
      <alignment horizontal="center"/>
    </xf>
    <xf numFmtId="0" fontId="103" fillId="45" borderId="69" xfId="8736" applyFont="1" applyFill="1" applyBorder="1" applyAlignment="1">
      <alignment horizontal="center"/>
    </xf>
    <xf numFmtId="0" fontId="103" fillId="45" borderId="70" xfId="8736" applyFont="1" applyFill="1" applyBorder="1" applyAlignment="1">
      <alignment horizontal="center"/>
    </xf>
    <xf numFmtId="0" fontId="172" fillId="44" borderId="72" xfId="8736" applyFont="1" applyFill="1" applyBorder="1" applyAlignment="1" applyProtection="1">
      <alignment horizontal="right"/>
      <protection locked="0"/>
    </xf>
    <xf numFmtId="0" fontId="172" fillId="44" borderId="11" xfId="8736" applyFont="1" applyFill="1" applyBorder="1" applyAlignment="1" applyProtection="1">
      <alignment horizontal="right"/>
      <protection locked="0"/>
    </xf>
    <xf numFmtId="0" fontId="172" fillId="44" borderId="76" xfId="8736" applyFont="1" applyFill="1" applyBorder="1" applyAlignment="1" applyProtection="1">
      <alignment horizontal="right"/>
      <protection locked="0"/>
    </xf>
    <xf numFmtId="0" fontId="172" fillId="48" borderId="5" xfId="8736" applyFont="1" applyFill="1" applyBorder="1" applyAlignment="1" applyProtection="1">
      <alignment horizontal="left"/>
      <protection locked="0"/>
    </xf>
    <xf numFmtId="0" fontId="172" fillId="44" borderId="69" xfId="8736" applyFont="1" applyFill="1" applyBorder="1" applyAlignment="1" applyProtection="1">
      <alignment horizontal="right"/>
      <protection locked="0"/>
    </xf>
    <xf numFmtId="0" fontId="172" fillId="44" borderId="70" xfId="8736" applyFont="1" applyFill="1" applyBorder="1" applyAlignment="1" applyProtection="1">
      <alignment horizontal="right"/>
      <protection locked="0"/>
    </xf>
    <xf numFmtId="0" fontId="172" fillId="44" borderId="77" xfId="8736" applyFont="1" applyFill="1" applyBorder="1" applyAlignment="1" applyProtection="1">
      <alignment horizontal="right"/>
      <protection locked="0"/>
    </xf>
    <xf numFmtId="0" fontId="172" fillId="48" borderId="95" xfId="8736" applyFont="1" applyFill="1" applyBorder="1" applyAlignment="1" applyProtection="1">
      <alignment horizontal="left"/>
      <protection locked="0"/>
    </xf>
    <xf numFmtId="0" fontId="166" fillId="45" borderId="65" xfId="8736" applyFont="1" applyFill="1" applyBorder="1" applyAlignment="1">
      <alignment horizontal="center"/>
    </xf>
    <xf numFmtId="0" fontId="166" fillId="45" borderId="29" xfId="8736" applyFont="1" applyFill="1" applyBorder="1" applyAlignment="1">
      <alignment horizontal="center"/>
    </xf>
    <xf numFmtId="0" fontId="166" fillId="45" borderId="31" xfId="8736" applyFont="1" applyFill="1" applyBorder="1" applyAlignment="1">
      <alignment horizontal="center"/>
    </xf>
    <xf numFmtId="168" fontId="172" fillId="48" borderId="11" xfId="8737" applyNumberFormat="1" applyFont="1" applyFill="1" applyBorder="1" applyAlignment="1" applyProtection="1">
      <alignment horizontal="center"/>
      <protection locked="0"/>
    </xf>
    <xf numFmtId="1" fontId="172" fillId="48" borderId="11" xfId="8736" applyNumberFormat="1" applyFont="1" applyFill="1" applyBorder="1" applyAlignment="1" applyProtection="1">
      <alignment horizontal="center"/>
      <protection locked="0"/>
    </xf>
    <xf numFmtId="0" fontId="172" fillId="48" borderId="11" xfId="700" applyNumberFormat="1" applyFont="1" applyFill="1" applyBorder="1" applyAlignment="1" applyProtection="1">
      <alignment horizontal="left"/>
      <protection locked="0"/>
    </xf>
    <xf numFmtId="0" fontId="172" fillId="48" borderId="76" xfId="700" applyNumberFormat="1" applyFont="1" applyFill="1" applyBorder="1" applyAlignment="1" applyProtection="1">
      <alignment horizontal="left"/>
      <protection locked="0"/>
    </xf>
    <xf numFmtId="168" fontId="173" fillId="45" borderId="70" xfId="8737" applyNumberFormat="1" applyFont="1" applyFill="1" applyBorder="1" applyAlignment="1">
      <alignment horizontal="center"/>
    </xf>
    <xf numFmtId="1" fontId="173" fillId="45" borderId="70" xfId="8737" applyNumberFormat="1" applyFont="1" applyFill="1" applyBorder="1" applyAlignment="1">
      <alignment horizontal="center"/>
    </xf>
    <xf numFmtId="0" fontId="173" fillId="45" borderId="70" xfId="8737" applyNumberFormat="1" applyFont="1" applyFill="1" applyBorder="1" applyAlignment="1">
      <alignment horizontal="center"/>
    </xf>
    <xf numFmtId="0" fontId="173" fillId="45" borderId="77" xfId="8737" applyNumberFormat="1" applyFont="1" applyFill="1" applyBorder="1" applyAlignment="1">
      <alignment horizontal="center"/>
    </xf>
    <xf numFmtId="0" fontId="165" fillId="45" borderId="11" xfId="8736" applyFont="1" applyFill="1" applyBorder="1" applyAlignment="1">
      <alignment horizontal="center" vertical="center" wrapText="1"/>
    </xf>
    <xf numFmtId="0" fontId="165" fillId="45" borderId="76" xfId="8736" applyFont="1" applyFill="1" applyBorder="1" applyAlignment="1">
      <alignment horizontal="center" vertical="center" wrapText="1"/>
    </xf>
    <xf numFmtId="1" fontId="177" fillId="48" borderId="70" xfId="8736" applyNumberFormat="1" applyFont="1" applyFill="1" applyBorder="1" applyAlignment="1" applyProtection="1">
      <alignment horizontal="center"/>
      <protection locked="0"/>
    </xf>
    <xf numFmtId="1" fontId="177" fillId="48" borderId="94" xfId="8736" applyNumberFormat="1" applyFont="1" applyFill="1" applyBorder="1" applyAlignment="1" applyProtection="1">
      <alignment horizontal="center"/>
      <protection locked="0"/>
    </xf>
    <xf numFmtId="1" fontId="177" fillId="48" borderId="86" xfId="8736" applyNumberFormat="1" applyFont="1" applyFill="1" applyBorder="1" applyAlignment="1" applyProtection="1">
      <alignment horizontal="center"/>
      <protection locked="0"/>
    </xf>
    <xf numFmtId="1" fontId="177" fillId="48" borderId="95" xfId="8736" applyNumberFormat="1" applyFont="1" applyFill="1" applyBorder="1" applyAlignment="1" applyProtection="1">
      <alignment horizontal="center"/>
      <protection locked="0"/>
    </xf>
    <xf numFmtId="1" fontId="177" fillId="48" borderId="3" xfId="8736" applyNumberFormat="1" applyFont="1" applyFill="1" applyBorder="1" applyAlignment="1" applyProtection="1">
      <alignment horizontal="center"/>
      <protection locked="0"/>
    </xf>
    <xf numFmtId="1" fontId="177" fillId="48" borderId="4" xfId="8736" applyNumberFormat="1" applyFont="1" applyFill="1" applyBorder="1" applyAlignment="1" applyProtection="1">
      <alignment horizontal="center"/>
      <protection locked="0"/>
    </xf>
    <xf numFmtId="1" fontId="177" fillId="48" borderId="5" xfId="8736" applyNumberFormat="1" applyFont="1" applyFill="1" applyBorder="1" applyAlignment="1" applyProtection="1">
      <alignment horizontal="center"/>
      <protection locked="0"/>
    </xf>
    <xf numFmtId="1" fontId="165" fillId="44" borderId="3" xfId="8736" applyNumberFormat="1" applyFont="1" applyFill="1" applyBorder="1" applyAlignment="1">
      <alignment horizontal="center"/>
    </xf>
    <xf numFmtId="1" fontId="165" fillId="44" borderId="4" xfId="8736" applyNumberFormat="1" applyFont="1" applyFill="1" applyBorder="1" applyAlignment="1">
      <alignment horizontal="center"/>
    </xf>
    <xf numFmtId="1" fontId="165" fillId="44" borderId="5" xfId="8736" applyNumberFormat="1" applyFont="1" applyFill="1" applyBorder="1" applyAlignment="1">
      <alignment horizontal="center"/>
    </xf>
    <xf numFmtId="9" fontId="165" fillId="44" borderId="3" xfId="8738" applyFont="1" applyFill="1" applyBorder="1" applyAlignment="1">
      <alignment horizontal="center"/>
    </xf>
    <xf numFmtId="9" fontId="165" fillId="44" borderId="4" xfId="8738" applyFont="1" applyFill="1" applyBorder="1" applyAlignment="1">
      <alignment horizontal="center"/>
    </xf>
    <xf numFmtId="9" fontId="165" fillId="44" borderId="81" xfId="8738" applyFont="1" applyFill="1" applyBorder="1" applyAlignment="1">
      <alignment horizontal="center"/>
    </xf>
    <xf numFmtId="0" fontId="172" fillId="48" borderId="69" xfId="8736" applyFont="1" applyFill="1" applyBorder="1" applyAlignment="1" applyProtection="1">
      <alignment horizontal="right"/>
      <protection locked="0"/>
    </xf>
    <xf numFmtId="0" fontId="172" fillId="48" borderId="70" xfId="8736" applyFont="1" applyFill="1" applyBorder="1" applyAlignment="1" applyProtection="1">
      <alignment horizontal="right"/>
      <protection locked="0"/>
    </xf>
    <xf numFmtId="0" fontId="177" fillId="48" borderId="70" xfId="8736" applyFont="1" applyFill="1" applyBorder="1" applyAlignment="1" applyProtection="1">
      <alignment horizontal="center"/>
      <protection locked="0"/>
    </xf>
    <xf numFmtId="9" fontId="165" fillId="44" borderId="94" xfId="8738" applyFont="1" applyFill="1" applyBorder="1" applyAlignment="1">
      <alignment horizontal="center"/>
    </xf>
    <xf numFmtId="9" fontId="165" fillId="44" borderId="86" xfId="8738" applyFont="1" applyFill="1" applyBorder="1" applyAlignment="1">
      <alignment horizontal="center"/>
    </xf>
    <xf numFmtId="9" fontId="165" fillId="44" borderId="85" xfId="8738" applyFont="1" applyFill="1" applyBorder="1" applyAlignment="1">
      <alignment horizontal="center"/>
    </xf>
    <xf numFmtId="0" fontId="177" fillId="48" borderId="11" xfId="8736" applyFont="1" applyFill="1" applyBorder="1" applyAlignment="1" applyProtection="1">
      <alignment horizontal="center"/>
      <protection locked="0"/>
    </xf>
    <xf numFmtId="1" fontId="177" fillId="48" borderId="11" xfId="8736" applyNumberFormat="1" applyFont="1" applyFill="1" applyBorder="1" applyAlignment="1" applyProtection="1">
      <alignment horizontal="center"/>
      <protection locked="0"/>
    </xf>
    <xf numFmtId="0" fontId="173" fillId="44" borderId="101" xfId="8736" applyFont="1" applyFill="1" applyBorder="1" applyAlignment="1">
      <alignment horizontal="center"/>
    </xf>
    <xf numFmtId="0" fontId="173" fillId="44" borderId="42" xfId="8736" applyFont="1" applyFill="1" applyBorder="1" applyAlignment="1">
      <alignment horizontal="center"/>
    </xf>
    <xf numFmtId="0" fontId="173" fillId="44" borderId="96" xfId="8736" applyFont="1" applyFill="1" applyBorder="1" applyAlignment="1">
      <alignment horizontal="center"/>
    </xf>
    <xf numFmtId="9" fontId="173" fillId="44" borderId="101" xfId="1022" applyFont="1" applyFill="1" applyBorder="1" applyAlignment="1">
      <alignment horizontal="center"/>
    </xf>
    <xf numFmtId="9" fontId="173" fillId="44" borderId="42" xfId="1022" applyFont="1" applyFill="1" applyBorder="1" applyAlignment="1">
      <alignment horizontal="center"/>
    </xf>
    <xf numFmtId="9" fontId="173" fillId="44" borderId="44" xfId="1022" applyFont="1" applyFill="1" applyBorder="1" applyAlignment="1">
      <alignment horizontal="center"/>
    </xf>
    <xf numFmtId="0" fontId="166" fillId="45" borderId="80" xfId="8736" applyFont="1" applyFill="1" applyBorder="1" applyAlignment="1">
      <alignment horizontal="center"/>
    </xf>
    <xf numFmtId="0" fontId="166" fillId="45" borderId="79" xfId="8736" applyFont="1" applyFill="1" applyBorder="1" applyAlignment="1">
      <alignment horizontal="center"/>
    </xf>
    <xf numFmtId="0" fontId="166" fillId="45" borderId="78" xfId="8736" applyFont="1" applyFill="1" applyBorder="1" applyAlignment="1">
      <alignment horizontal="center"/>
    </xf>
    <xf numFmtId="0" fontId="165" fillId="45" borderId="98" xfId="8736" applyFont="1" applyFill="1" applyBorder="1" applyAlignment="1">
      <alignment horizontal="center" vertical="center" wrapText="1"/>
    </xf>
    <xf numFmtId="0" fontId="165" fillId="45" borderId="13" xfId="8736" applyFont="1" applyFill="1" applyBorder="1" applyAlignment="1">
      <alignment horizontal="center" vertical="center"/>
    </xf>
    <xf numFmtId="0" fontId="165" fillId="45" borderId="72" xfId="8736" applyFont="1" applyFill="1" applyBorder="1" applyAlignment="1">
      <alignment horizontal="center" vertical="center"/>
    </xf>
    <xf numFmtId="0" fontId="165" fillId="45" borderId="11" xfId="8736" applyFont="1" applyFill="1" applyBorder="1" applyAlignment="1">
      <alignment horizontal="center" vertical="center"/>
    </xf>
    <xf numFmtId="0" fontId="173" fillId="45" borderId="13" xfId="8736" applyFont="1" applyFill="1" applyBorder="1" applyAlignment="1">
      <alignment horizontal="center" vertical="center" wrapText="1"/>
    </xf>
    <xf numFmtId="0" fontId="173" fillId="45" borderId="13" xfId="8736" applyFont="1" applyFill="1" applyBorder="1" applyAlignment="1">
      <alignment horizontal="center" vertical="center"/>
    </xf>
    <xf numFmtId="0" fontId="173" fillId="45" borderId="11" xfId="8736" applyFont="1" applyFill="1" applyBorder="1" applyAlignment="1">
      <alignment horizontal="center" vertical="center"/>
    </xf>
    <xf numFmtId="0" fontId="173" fillId="45" borderId="9" xfId="8736" applyFont="1" applyFill="1" applyBorder="1" applyAlignment="1">
      <alignment horizontal="center" vertical="center"/>
    </xf>
    <xf numFmtId="0" fontId="173" fillId="45" borderId="3" xfId="8736" applyFont="1" applyFill="1" applyBorder="1" applyAlignment="1">
      <alignment horizontal="center" vertical="center"/>
    </xf>
    <xf numFmtId="0" fontId="165" fillId="45" borderId="80" xfId="8736" applyFont="1" applyFill="1" applyBorder="1" applyAlignment="1">
      <alignment horizontal="center"/>
    </xf>
    <xf numFmtId="0" fontId="165" fillId="45" borderId="79" xfId="8736" applyFont="1" applyFill="1" applyBorder="1" applyAlignment="1">
      <alignment horizontal="center"/>
    </xf>
    <xf numFmtId="0" fontId="165" fillId="45" borderId="78" xfId="8736" applyFont="1" applyFill="1" applyBorder="1" applyAlignment="1">
      <alignment horizontal="center"/>
    </xf>
    <xf numFmtId="0" fontId="165" fillId="45" borderId="65" xfId="8736" applyFont="1" applyFill="1" applyBorder="1" applyAlignment="1">
      <alignment horizontal="center" vertical="center" wrapText="1"/>
    </xf>
    <xf numFmtId="0" fontId="165" fillId="45" borderId="29" xfId="8736" applyFont="1" applyFill="1" applyBorder="1" applyAlignment="1">
      <alignment horizontal="center" vertical="center" wrapText="1"/>
    </xf>
    <xf numFmtId="0" fontId="165" fillId="45" borderId="31" xfId="8736" applyFont="1" applyFill="1" applyBorder="1" applyAlignment="1">
      <alignment horizontal="center" vertical="center" wrapText="1"/>
    </xf>
    <xf numFmtId="0" fontId="165" fillId="45" borderId="73" xfId="8736" applyFont="1" applyFill="1" applyBorder="1" applyAlignment="1">
      <alignment horizontal="center" vertical="center" wrapText="1"/>
    </xf>
    <xf numFmtId="0" fontId="165" fillId="45" borderId="42" xfId="8736" applyFont="1" applyFill="1" applyBorder="1" applyAlignment="1">
      <alignment horizontal="center" vertical="center" wrapText="1"/>
    </xf>
    <xf numFmtId="0" fontId="165" fillId="45" borderId="44" xfId="8736" applyFont="1" applyFill="1" applyBorder="1" applyAlignment="1">
      <alignment horizontal="center" vertical="center" wrapText="1"/>
    </xf>
    <xf numFmtId="9" fontId="173" fillId="48" borderId="13" xfId="8736" applyNumberFormat="1" applyFont="1" applyFill="1" applyBorder="1" applyAlignment="1" applyProtection="1">
      <alignment horizontal="center"/>
      <protection locked="0"/>
    </xf>
    <xf numFmtId="0" fontId="173" fillId="44" borderId="73" xfId="8736" applyFont="1" applyFill="1" applyBorder="1" applyAlignment="1">
      <alignment horizontal="center"/>
    </xf>
    <xf numFmtId="0" fontId="165" fillId="44" borderId="9" xfId="8736" applyFont="1" applyFill="1" applyBorder="1" applyAlignment="1">
      <alignment horizontal="center"/>
    </xf>
    <xf numFmtId="0" fontId="165" fillId="44" borderId="6" xfId="8736" applyFont="1" applyFill="1" applyBorder="1" applyAlignment="1">
      <alignment horizontal="center"/>
    </xf>
    <xf numFmtId="0" fontId="165" fillId="44" borderId="82" xfId="8736" applyFont="1" applyFill="1" applyBorder="1" applyAlignment="1">
      <alignment horizontal="center"/>
    </xf>
    <xf numFmtId="9" fontId="173" fillId="48" borderId="9" xfId="8736" applyNumberFormat="1" applyFont="1" applyFill="1" applyBorder="1" applyAlignment="1" applyProtection="1">
      <alignment horizontal="center"/>
      <protection locked="0"/>
    </xf>
    <xf numFmtId="9" fontId="173" fillId="48" borderId="6" xfId="8736" applyNumberFormat="1" applyFont="1" applyFill="1" applyBorder="1" applyAlignment="1" applyProtection="1">
      <alignment horizontal="center"/>
      <protection locked="0"/>
    </xf>
    <xf numFmtId="9" fontId="173" fillId="48" borderId="10" xfId="8736" applyNumberFormat="1" applyFont="1" applyFill="1" applyBorder="1" applyAlignment="1" applyProtection="1">
      <alignment horizontal="center"/>
      <protection locked="0"/>
    </xf>
    <xf numFmtId="9" fontId="165" fillId="48" borderId="9" xfId="8736" applyNumberFormat="1" applyFont="1" applyFill="1" applyBorder="1" applyAlignment="1" applyProtection="1">
      <alignment horizontal="center"/>
      <protection locked="0"/>
    </xf>
    <xf numFmtId="9" fontId="165" fillId="48" borderId="6" xfId="8736" applyNumberFormat="1" applyFont="1" applyFill="1" applyBorder="1" applyAlignment="1" applyProtection="1">
      <alignment horizontal="center"/>
      <protection locked="0"/>
    </xf>
    <xf numFmtId="9" fontId="165" fillId="48" borderId="10" xfId="8736" applyNumberFormat="1" applyFont="1" applyFill="1" applyBorder="1" applyAlignment="1" applyProtection="1">
      <alignment horizontal="center"/>
      <protection locked="0"/>
    </xf>
    <xf numFmtId="0" fontId="165" fillId="44" borderId="10" xfId="8736" applyFont="1" applyFill="1" applyBorder="1" applyAlignment="1">
      <alignment horizontal="center"/>
    </xf>
    <xf numFmtId="0" fontId="172" fillId="48" borderId="3" xfId="8736" applyFont="1" applyFill="1" applyBorder="1" applyAlignment="1" applyProtection="1">
      <alignment horizontal="center"/>
      <protection locked="0"/>
    </xf>
    <xf numFmtId="0" fontId="172" fillId="48" borderId="4" xfId="8736" applyFont="1" applyFill="1" applyBorder="1" applyAlignment="1" applyProtection="1">
      <alignment horizontal="center"/>
      <protection locked="0"/>
    </xf>
    <xf numFmtId="0" fontId="172" fillId="48" borderId="5" xfId="8736" applyFont="1" applyFill="1" applyBorder="1" applyAlignment="1" applyProtection="1">
      <alignment horizontal="center"/>
      <protection locked="0"/>
    </xf>
    <xf numFmtId="10" fontId="173" fillId="44" borderId="3" xfId="8736" applyNumberFormat="1" applyFont="1" applyFill="1" applyBorder="1" applyAlignment="1">
      <alignment horizontal="center"/>
    </xf>
    <xf numFmtId="10" fontId="173" fillId="44" borderId="4" xfId="8736" applyNumberFormat="1" applyFont="1" applyFill="1" applyBorder="1" applyAlignment="1">
      <alignment horizontal="center"/>
    </xf>
    <xf numFmtId="10" fontId="173" fillId="44" borderId="81" xfId="8736" applyNumberFormat="1" applyFont="1" applyFill="1" applyBorder="1" applyAlignment="1">
      <alignment horizontal="center"/>
    </xf>
    <xf numFmtId="0" fontId="173" fillId="44" borderId="87" xfId="8736" applyFont="1" applyFill="1" applyBorder="1" applyAlignment="1">
      <alignment horizontal="center"/>
    </xf>
    <xf numFmtId="0" fontId="173" fillId="44" borderId="86" xfId="8736" applyFont="1" applyFill="1" applyBorder="1" applyAlignment="1">
      <alignment horizontal="center"/>
    </xf>
    <xf numFmtId="0" fontId="173" fillId="44" borderId="95" xfId="8736" applyFont="1" applyFill="1" applyBorder="1" applyAlignment="1">
      <alignment horizontal="center"/>
    </xf>
    <xf numFmtId="0" fontId="172" fillId="44" borderId="94" xfId="8736" applyFont="1" applyFill="1" applyBorder="1" applyAlignment="1">
      <alignment horizontal="center"/>
    </xf>
    <xf numFmtId="0" fontId="172" fillId="44" borderId="86" xfId="8736" applyFont="1" applyFill="1" applyBorder="1" applyAlignment="1">
      <alignment horizontal="center"/>
    </xf>
    <xf numFmtId="0" fontId="172" fillId="44" borderId="95" xfId="8736" applyFont="1" applyFill="1" applyBorder="1" applyAlignment="1">
      <alignment horizontal="center"/>
    </xf>
    <xf numFmtId="10" fontId="173" fillId="44" borderId="94" xfId="8736" applyNumberFormat="1" applyFont="1" applyFill="1" applyBorder="1" applyAlignment="1">
      <alignment horizontal="center"/>
    </xf>
    <xf numFmtId="10" fontId="173" fillId="44" borderId="86" xfId="8736" applyNumberFormat="1" applyFont="1" applyFill="1" applyBorder="1" applyAlignment="1">
      <alignment horizontal="center"/>
    </xf>
    <xf numFmtId="10" fontId="173" fillId="44" borderId="85" xfId="8736" applyNumberFormat="1" applyFont="1" applyFill="1" applyBorder="1" applyAlignment="1">
      <alignment horizontal="center"/>
    </xf>
    <xf numFmtId="9" fontId="172" fillId="48" borderId="90" xfId="8736" applyNumberFormat="1" applyFont="1" applyFill="1" applyBorder="1" applyAlignment="1" applyProtection="1">
      <alignment horizontal="center"/>
      <protection locked="0"/>
    </xf>
    <xf numFmtId="9" fontId="172" fillId="48" borderId="4" xfId="8736" applyNumberFormat="1" applyFont="1" applyFill="1" applyBorder="1" applyAlignment="1" applyProtection="1">
      <alignment horizontal="center"/>
      <protection locked="0"/>
    </xf>
    <xf numFmtId="9" fontId="172" fillId="48" borderId="5" xfId="8736" applyNumberFormat="1" applyFont="1" applyFill="1" applyBorder="1" applyAlignment="1" applyProtection="1">
      <alignment horizontal="center"/>
      <protection locked="0"/>
    </xf>
    <xf numFmtId="0" fontId="172" fillId="44" borderId="3" xfId="8736" applyFont="1" applyFill="1" applyBorder="1" applyAlignment="1">
      <alignment horizontal="center"/>
    </xf>
    <xf numFmtId="0" fontId="172" fillId="44" borderId="4" xfId="8736" applyFont="1" applyFill="1" applyBorder="1" applyAlignment="1">
      <alignment horizontal="center"/>
    </xf>
    <xf numFmtId="0" fontId="172" fillId="44" borderId="5" xfId="8736" applyFont="1" applyFill="1" applyBorder="1" applyAlignment="1">
      <alignment horizontal="center"/>
    </xf>
    <xf numFmtId="0" fontId="103" fillId="45" borderId="80" xfId="8736" applyFont="1" applyFill="1" applyBorder="1" applyAlignment="1">
      <alignment horizontal="right"/>
    </xf>
    <xf numFmtId="0" fontId="103" fillId="45" borderId="79" xfId="8736" applyFont="1" applyFill="1" applyBorder="1" applyAlignment="1">
      <alignment horizontal="right"/>
    </xf>
    <xf numFmtId="0" fontId="103" fillId="45" borderId="103" xfId="8736" applyFont="1" applyFill="1" applyBorder="1" applyAlignment="1">
      <alignment horizontal="right"/>
    </xf>
    <xf numFmtId="0" fontId="2" fillId="44" borderId="84" xfId="8736" applyFill="1" applyBorder="1" applyAlignment="1">
      <alignment horizontal="center"/>
    </xf>
    <xf numFmtId="0" fontId="2" fillId="44" borderId="102" xfId="8736" applyFill="1" applyBorder="1" applyAlignment="1">
      <alignment horizontal="center"/>
    </xf>
    <xf numFmtId="0" fontId="173" fillId="45" borderId="11" xfId="8736" applyFont="1" applyFill="1" applyBorder="1" applyAlignment="1">
      <alignment horizontal="right"/>
    </xf>
    <xf numFmtId="14" fontId="169" fillId="48" borderId="11" xfId="8736" applyNumberFormat="1" applyFont="1" applyFill="1" applyBorder="1" applyAlignment="1" applyProtection="1">
      <alignment horizontal="center" vertical="center"/>
      <protection locked="0"/>
    </xf>
    <xf numFmtId="0" fontId="169" fillId="48" borderId="11" xfId="8736" applyFont="1" applyFill="1" applyBorder="1" applyAlignment="1" applyProtection="1">
      <alignment horizontal="center" vertical="center"/>
      <protection locked="0"/>
    </xf>
    <xf numFmtId="0" fontId="173" fillId="45" borderId="97" xfId="8736" applyFont="1" applyFill="1" applyBorder="1" applyAlignment="1">
      <alignment horizontal="center"/>
    </xf>
    <xf numFmtId="0" fontId="173" fillId="45" borderId="2" xfId="8736" applyFont="1" applyFill="1" applyBorder="1" applyAlignment="1">
      <alignment horizontal="center"/>
    </xf>
    <xf numFmtId="0" fontId="173" fillId="45" borderId="7" xfId="8736" applyFont="1" applyFill="1" applyBorder="1" applyAlignment="1">
      <alignment horizontal="center"/>
    </xf>
    <xf numFmtId="0" fontId="173" fillId="45" borderId="3" xfId="8736" applyFont="1" applyFill="1" applyBorder="1" applyAlignment="1">
      <alignment horizontal="center"/>
    </xf>
    <xf numFmtId="0" fontId="173" fillId="45" borderId="4" xfId="8736" applyFont="1" applyFill="1" applyBorder="1" applyAlignment="1">
      <alignment horizontal="center"/>
    </xf>
    <xf numFmtId="0" fontId="173" fillId="45" borderId="5" xfId="8736" applyFont="1" applyFill="1" applyBorder="1" applyAlignment="1">
      <alignment horizontal="center"/>
    </xf>
    <xf numFmtId="0" fontId="173" fillId="45" borderId="81" xfId="8736" applyFont="1" applyFill="1" applyBorder="1" applyAlignment="1">
      <alignment horizontal="center"/>
    </xf>
    <xf numFmtId="0" fontId="103" fillId="45" borderId="80" xfId="8736" applyFont="1" applyFill="1" applyBorder="1" applyAlignment="1">
      <alignment horizontal="center"/>
    </xf>
    <xf numFmtId="0" fontId="103" fillId="45" borderId="79" xfId="8736" applyFont="1" applyFill="1" applyBorder="1" applyAlignment="1">
      <alignment horizontal="center"/>
    </xf>
    <xf numFmtId="0" fontId="103" fillId="45" borderId="78" xfId="8736" applyFont="1" applyFill="1" applyBorder="1" applyAlignment="1">
      <alignment horizontal="center"/>
    </xf>
    <xf numFmtId="0" fontId="169" fillId="48" borderId="80" xfId="8736" applyFont="1" applyFill="1" applyBorder="1" applyAlignment="1" applyProtection="1">
      <alignment horizontal="center"/>
      <protection locked="0"/>
    </xf>
    <xf numFmtId="0" fontId="169" fillId="48" borderId="79" xfId="8736" applyFont="1" applyFill="1" applyBorder="1" applyAlignment="1" applyProtection="1">
      <alignment horizontal="center"/>
      <protection locked="0"/>
    </xf>
    <xf numFmtId="0" fontId="169" fillId="48" borderId="78" xfId="8736" applyFont="1" applyFill="1" applyBorder="1" applyAlignment="1" applyProtection="1">
      <alignment horizontal="center"/>
      <protection locked="0"/>
    </xf>
    <xf numFmtId="1" fontId="2" fillId="44" borderId="11" xfId="8736" applyNumberFormat="1" applyFill="1" applyBorder="1" applyAlignment="1">
      <alignment horizontal="center"/>
    </xf>
    <xf numFmtId="0" fontId="2" fillId="44" borderId="11" xfId="8736" applyFill="1" applyBorder="1" applyAlignment="1">
      <alignment horizontal="center"/>
    </xf>
    <xf numFmtId="0" fontId="170" fillId="45" borderId="11" xfId="8736" applyFont="1" applyFill="1" applyBorder="1" applyAlignment="1">
      <alignment horizontal="right" wrapText="1"/>
    </xf>
    <xf numFmtId="168" fontId="174" fillId="44" borderId="11" xfId="8737" applyNumberFormat="1" applyFont="1" applyFill="1" applyBorder="1" applyAlignment="1" applyProtection="1">
      <alignment horizontal="left"/>
    </xf>
    <xf numFmtId="0" fontId="176" fillId="45" borderId="11" xfId="8736" applyFont="1" applyFill="1" applyBorder="1" applyAlignment="1">
      <alignment horizontal="right"/>
    </xf>
    <xf numFmtId="14" fontId="169" fillId="48" borderId="11" xfId="8736" applyNumberFormat="1" applyFont="1" applyFill="1" applyBorder="1" applyAlignment="1" applyProtection="1">
      <alignment horizontal="center"/>
      <protection locked="0"/>
    </xf>
    <xf numFmtId="0" fontId="169" fillId="48" borderId="11" xfId="8736" applyFont="1" applyFill="1" applyBorder="1" applyAlignment="1" applyProtection="1">
      <alignment horizontal="center"/>
      <protection locked="0"/>
    </xf>
    <xf numFmtId="0" fontId="170" fillId="45" borderId="11" xfId="8736" applyFont="1" applyFill="1" applyBorder="1" applyAlignment="1">
      <alignment horizontal="right"/>
    </xf>
    <xf numFmtId="1" fontId="169" fillId="48" borderId="11" xfId="8736" applyNumberFormat="1" applyFont="1" applyFill="1" applyBorder="1" applyAlignment="1" applyProtection="1">
      <alignment horizontal="center"/>
      <protection locked="0"/>
    </xf>
    <xf numFmtId="0" fontId="2" fillId="44" borderId="80" xfId="8736" applyFill="1" applyBorder="1" applyAlignment="1">
      <alignment horizontal="center"/>
    </xf>
    <xf numFmtId="0" fontId="2" fillId="44" borderId="79" xfId="8736" applyFill="1" applyBorder="1" applyAlignment="1">
      <alignment horizontal="center"/>
    </xf>
    <xf numFmtId="0" fontId="2" fillId="44" borderId="78" xfId="8736" applyFill="1" applyBorder="1" applyAlignment="1">
      <alignment horizontal="center"/>
    </xf>
    <xf numFmtId="0" fontId="2" fillId="45" borderId="3" xfId="8736" applyFill="1" applyBorder="1" applyAlignment="1">
      <alignment horizontal="center"/>
    </xf>
    <xf numFmtId="0" fontId="2" fillId="45" borderId="4" xfId="8736" applyFill="1" applyBorder="1" applyAlignment="1">
      <alignment horizontal="center"/>
    </xf>
    <xf numFmtId="0" fontId="2" fillId="45" borderId="5" xfId="8736" applyFill="1" applyBorder="1" applyAlignment="1">
      <alignment horizontal="center"/>
    </xf>
    <xf numFmtId="0" fontId="169" fillId="44" borderId="80" xfId="8736" applyFont="1" applyFill="1" applyBorder="1" applyAlignment="1">
      <alignment horizontal="left"/>
    </xf>
    <xf numFmtId="0" fontId="169" fillId="44" borderId="79" xfId="8736" applyFont="1" applyFill="1" applyBorder="1" applyAlignment="1">
      <alignment horizontal="left"/>
    </xf>
    <xf numFmtId="0" fontId="169" fillId="44" borderId="78" xfId="8736" applyFont="1" applyFill="1" applyBorder="1" applyAlignment="1">
      <alignment horizontal="left"/>
    </xf>
    <xf numFmtId="0" fontId="181" fillId="51" borderId="65" xfId="8736" applyFont="1" applyFill="1" applyBorder="1" applyAlignment="1">
      <alignment horizontal="center"/>
    </xf>
    <xf numFmtId="0" fontId="181" fillId="51" borderId="29" xfId="8736" applyFont="1" applyFill="1" applyBorder="1" applyAlignment="1">
      <alignment horizontal="center"/>
    </xf>
    <xf numFmtId="0" fontId="181" fillId="51" borderId="31" xfId="8736" applyFont="1" applyFill="1" applyBorder="1" applyAlignment="1">
      <alignment horizontal="center"/>
    </xf>
    <xf numFmtId="0" fontId="166" fillId="48" borderId="66" xfId="8736" applyFont="1" applyFill="1" applyBorder="1" applyAlignment="1">
      <alignment horizontal="center"/>
    </xf>
    <xf numFmtId="0" fontId="166" fillId="48" borderId="0" xfId="8736" applyFont="1" applyFill="1" applyAlignment="1">
      <alignment horizontal="center"/>
    </xf>
    <xf numFmtId="0" fontId="166" fillId="48" borderId="41" xfId="8736" applyFont="1" applyFill="1" applyBorder="1" applyAlignment="1">
      <alignment horizontal="center"/>
    </xf>
    <xf numFmtId="0" fontId="166" fillId="45" borderId="5" xfId="8736" applyFont="1" applyFill="1" applyBorder="1" applyAlignment="1">
      <alignment horizontal="center"/>
    </xf>
    <xf numFmtId="168" fontId="18" fillId="2" borderId="3" xfId="569" applyNumberFormat="1" applyFill="1" applyBorder="1" applyAlignment="1">
      <alignment horizontal="center"/>
    </xf>
    <xf numFmtId="168" fontId="18" fillId="2" borderId="4" xfId="569" applyNumberFormat="1" applyFill="1" applyBorder="1" applyAlignment="1">
      <alignment horizontal="center"/>
    </xf>
    <xf numFmtId="168" fontId="18" fillId="2" borderId="5" xfId="569" applyNumberFormat="1" applyFill="1" applyBorder="1" applyAlignment="1">
      <alignment horizontal="center"/>
    </xf>
    <xf numFmtId="168" fontId="18" fillId="5" borderId="5" xfId="569" applyNumberFormat="1" applyFill="1" applyBorder="1" applyAlignment="1" applyProtection="1">
      <alignment horizontal="center"/>
      <protection locked="0"/>
    </xf>
    <xf numFmtId="168" fontId="18" fillId="5" borderId="11" xfId="569" applyNumberFormat="1" applyFill="1" applyBorder="1" applyAlignment="1" applyProtection="1">
      <alignment horizontal="center"/>
      <protection locked="0"/>
    </xf>
    <xf numFmtId="168" fontId="18" fillId="0" borderId="5" xfId="569" applyNumberFormat="1" applyBorder="1" applyAlignment="1">
      <alignment horizontal="center"/>
    </xf>
    <xf numFmtId="168" fontId="18" fillId="0" borderId="11" xfId="569" applyNumberFormat="1" applyBorder="1" applyAlignment="1">
      <alignment horizontal="center"/>
    </xf>
    <xf numFmtId="168" fontId="18" fillId="0" borderId="3" xfId="569" applyNumberFormat="1" applyBorder="1" applyAlignment="1">
      <alignment horizontal="center"/>
    </xf>
    <xf numFmtId="168" fontId="18" fillId="0" borderId="4" xfId="569" applyNumberFormat="1" applyBorder="1" applyAlignment="1">
      <alignment horizontal="center"/>
    </xf>
    <xf numFmtId="179" fontId="25" fillId="0" borderId="0" xfId="569" applyNumberFormat="1" applyFont="1" applyAlignment="1">
      <alignment horizontal="center" wrapText="1"/>
    </xf>
    <xf numFmtId="0" fontId="25" fillId="0" borderId="16" xfId="271" applyFont="1" applyBorder="1" applyAlignment="1">
      <alignment horizontal="center"/>
    </xf>
    <xf numFmtId="164" fontId="25" fillId="0" borderId="0" xfId="569" applyNumberFormat="1" applyFont="1" applyAlignment="1">
      <alignment horizontal="center" wrapText="1"/>
    </xf>
    <xf numFmtId="0" fontId="25" fillId="0" borderId="3" xfId="569" applyFont="1" applyBorder="1" applyAlignment="1">
      <alignment horizontal="right"/>
    </xf>
    <xf numFmtId="0" fontId="25" fillId="0" borderId="4" xfId="569" applyFont="1" applyBorder="1" applyAlignment="1">
      <alignment horizontal="right"/>
    </xf>
    <xf numFmtId="0" fontId="25" fillId="0" borderId="5" xfId="569" applyFont="1" applyBorder="1" applyAlignment="1">
      <alignment horizontal="right"/>
    </xf>
    <xf numFmtId="0" fontId="54" fillId="0" borderId="0" xfId="569" applyFont="1" applyAlignment="1">
      <alignment horizontal="left"/>
    </xf>
    <xf numFmtId="0" fontId="18" fillId="0" borderId="3" xfId="569" applyBorder="1" applyAlignment="1">
      <alignment horizontal="right"/>
    </xf>
    <xf numFmtId="0" fontId="18" fillId="0" borderId="4" xfId="569" applyBorder="1" applyAlignment="1">
      <alignment horizontal="right"/>
    </xf>
    <xf numFmtId="0" fontId="18" fillId="0" borderId="5" xfId="569" applyBorder="1" applyAlignment="1">
      <alignment horizontal="right"/>
    </xf>
    <xf numFmtId="0" fontId="26" fillId="0" borderId="3" xfId="569" applyFont="1" applyBorder="1" applyAlignment="1">
      <alignment horizontal="right"/>
    </xf>
    <xf numFmtId="0" fontId="26" fillId="0" borderId="4" xfId="569" applyFont="1" applyBorder="1" applyAlignment="1">
      <alignment horizontal="right"/>
    </xf>
    <xf numFmtId="0" fontId="26" fillId="0" borderId="5" xfId="569" applyFont="1" applyBorder="1" applyAlignment="1">
      <alignment horizontal="right"/>
    </xf>
    <xf numFmtId="168" fontId="18" fillId="0" borderId="3" xfId="569" applyNumberFormat="1" applyBorder="1" applyAlignment="1">
      <alignment horizontal="right"/>
    </xf>
    <xf numFmtId="168" fontId="18" fillId="0" borderId="4" xfId="569" applyNumberFormat="1" applyBorder="1" applyAlignment="1">
      <alignment horizontal="right"/>
    </xf>
    <xf numFmtId="168" fontId="18" fillId="0" borderId="5" xfId="569" applyNumberFormat="1" applyBorder="1" applyAlignment="1">
      <alignment horizontal="right"/>
    </xf>
    <xf numFmtId="9" fontId="18" fillId="0" borderId="5" xfId="569" applyNumberFormat="1" applyBorder="1" applyAlignment="1">
      <alignment horizontal="center"/>
    </xf>
    <xf numFmtId="9" fontId="18" fillId="0" borderId="11" xfId="569" applyNumberFormat="1" applyBorder="1" applyAlignment="1">
      <alignment horizontal="center"/>
    </xf>
    <xf numFmtId="0" fontId="25" fillId="0" borderId="3" xfId="569" applyFont="1" applyBorder="1" applyAlignment="1">
      <alignment horizontal="left"/>
    </xf>
    <xf numFmtId="0" fontId="25" fillId="0" borderId="5" xfId="569" applyFont="1" applyBorder="1" applyAlignment="1">
      <alignment horizontal="left"/>
    </xf>
    <xf numFmtId="0" fontId="26" fillId="0" borderId="4" xfId="569" applyFont="1" applyBorder="1" applyAlignment="1">
      <alignment horizontal="left"/>
    </xf>
    <xf numFmtId="0" fontId="26" fillId="0" borderId="5" xfId="569" applyFont="1" applyBorder="1" applyAlignment="1">
      <alignment horizontal="left"/>
    </xf>
    <xf numFmtId="0" fontId="24" fillId="3" borderId="2" xfId="569" applyFont="1" applyFill="1" applyBorder="1" applyAlignment="1">
      <alignment horizontal="center" vertical="center"/>
    </xf>
    <xf numFmtId="0" fontId="24" fillId="3" borderId="16" xfId="569" applyFont="1" applyFill="1" applyBorder="1" applyAlignment="1">
      <alignment horizontal="center" vertical="center"/>
    </xf>
    <xf numFmtId="0" fontId="25" fillId="0" borderId="11" xfId="569" applyFont="1" applyBorder="1" applyAlignment="1">
      <alignment horizontal="center" wrapText="1"/>
    </xf>
    <xf numFmtId="168" fontId="18" fillId="0" borderId="7" xfId="569" applyNumberFormat="1" applyBorder="1" applyAlignment="1">
      <alignment horizontal="center"/>
    </xf>
    <xf numFmtId="168" fontId="18" fillId="0" borderId="15" xfId="569" applyNumberFormat="1" applyBorder="1" applyAlignment="1">
      <alignment horizontal="center"/>
    </xf>
    <xf numFmtId="168" fontId="18" fillId="5" borderId="10" xfId="569" applyNumberFormat="1" applyFill="1" applyBorder="1" applyAlignment="1" applyProtection="1">
      <alignment horizontal="center"/>
      <protection locked="0"/>
    </xf>
    <xf numFmtId="168" fontId="18" fillId="5" borderId="13" xfId="569" applyNumberFormat="1" applyFill="1" applyBorder="1" applyAlignment="1" applyProtection="1">
      <alignment horizontal="center"/>
      <protection locked="0"/>
    </xf>
    <xf numFmtId="5" fontId="18" fillId="0" borderId="5" xfId="569" applyNumberFormat="1" applyBorder="1" applyAlignment="1">
      <alignment horizontal="center"/>
    </xf>
    <xf numFmtId="5" fontId="18" fillId="0" borderId="11" xfId="569" applyNumberFormat="1" applyBorder="1" applyAlignment="1">
      <alignment horizontal="center"/>
    </xf>
    <xf numFmtId="5" fontId="18" fillId="0" borderId="3" xfId="569" applyNumberFormat="1" applyBorder="1" applyAlignment="1">
      <alignment horizontal="center"/>
    </xf>
    <xf numFmtId="5" fontId="18" fillId="0" borderId="4" xfId="569" applyNumberFormat="1" applyBorder="1" applyAlignment="1">
      <alignment horizontal="center"/>
    </xf>
    <xf numFmtId="9" fontId="18" fillId="0" borderId="9" xfId="569" applyNumberFormat="1" applyBorder="1" applyAlignment="1">
      <alignment horizontal="center" vertical="center"/>
    </xf>
    <xf numFmtId="9" fontId="18" fillId="0" borderId="6" xfId="569" applyNumberFormat="1" applyBorder="1" applyAlignment="1">
      <alignment horizontal="center" vertical="center"/>
    </xf>
    <xf numFmtId="9" fontId="18" fillId="0" borderId="10" xfId="569" applyNumberFormat="1" applyBorder="1" applyAlignment="1">
      <alignment horizontal="center" vertical="center"/>
    </xf>
    <xf numFmtId="168" fontId="18" fillId="0" borderId="11" xfId="569" applyNumberFormat="1" applyBorder="1" applyAlignment="1">
      <alignment horizontal="right"/>
    </xf>
    <xf numFmtId="0" fontId="25" fillId="0" borderId="6" xfId="569" applyFont="1" applyBorder="1" applyAlignment="1">
      <alignment horizontal="center"/>
    </xf>
    <xf numFmtId="0" fontId="18" fillId="0" borderId="4" xfId="569" applyBorder="1" applyAlignment="1">
      <alignment horizontal="center"/>
    </xf>
    <xf numFmtId="0" fontId="18" fillId="0" borderId="5" xfId="569" applyBorder="1" applyAlignment="1">
      <alignment horizontal="center"/>
    </xf>
    <xf numFmtId="176" fontId="18" fillId="5" borderId="3" xfId="569" applyNumberFormat="1" applyFill="1" applyBorder="1" applyAlignment="1" applyProtection="1">
      <alignment horizontal="right"/>
      <protection locked="0"/>
    </xf>
    <xf numFmtId="176" fontId="18" fillId="5" borderId="4" xfId="569" applyNumberFormat="1" applyFill="1" applyBorder="1" applyAlignment="1" applyProtection="1">
      <alignment horizontal="right"/>
      <protection locked="0"/>
    </xf>
    <xf numFmtId="176" fontId="18" fillId="5" borderId="5" xfId="569" applyNumberFormat="1" applyFill="1" applyBorder="1" applyAlignment="1" applyProtection="1">
      <alignment horizontal="right"/>
      <protection locked="0"/>
    </xf>
    <xf numFmtId="0" fontId="108" fillId="0" borderId="0" xfId="569" applyFont="1" applyAlignment="1">
      <alignment horizontal="left" wrapText="1"/>
    </xf>
    <xf numFmtId="0" fontId="25" fillId="0" borderId="11" xfId="569" applyFont="1" applyBorder="1" applyAlignment="1">
      <alignment horizontal="center"/>
    </xf>
    <xf numFmtId="165" fontId="18" fillId="0" borderId="11" xfId="569" applyNumberFormat="1" applyBorder="1" applyAlignment="1" applyProtection="1">
      <alignment horizontal="center"/>
      <protection locked="0"/>
    </xf>
    <xf numFmtId="168" fontId="18" fillId="0" borderId="11" xfId="569" applyNumberFormat="1" applyBorder="1"/>
    <xf numFmtId="168" fontId="18" fillId="0" borderId="3" xfId="569" applyNumberFormat="1" applyBorder="1"/>
    <xf numFmtId="168" fontId="18" fillId="0" borderId="4" xfId="569" applyNumberFormat="1" applyBorder="1"/>
    <xf numFmtId="168" fontId="18" fillId="0" borderId="5" xfId="569" applyNumberFormat="1" applyBorder="1"/>
    <xf numFmtId="168" fontId="18" fillId="0" borderId="11" xfId="569" applyNumberFormat="1" applyBorder="1" applyAlignment="1">
      <alignment wrapText="1"/>
    </xf>
    <xf numFmtId="9" fontId="18" fillId="0" borderId="15" xfId="569" applyNumberFormat="1" applyBorder="1" applyAlignment="1">
      <alignment horizontal="center"/>
    </xf>
    <xf numFmtId="0" fontId="18" fillId="0" borderId="11" xfId="569" applyBorder="1" applyAlignment="1">
      <alignment horizontal="center"/>
    </xf>
    <xf numFmtId="0" fontId="108" fillId="0" borderId="0" xfId="0" applyFont="1" applyAlignment="1">
      <alignment horizontal="left" vertical="top" wrapText="1"/>
    </xf>
    <xf numFmtId="0" fontId="18" fillId="0" borderId="0" xfId="4495" applyFont="1" applyAlignment="1">
      <alignment horizontal="left" vertical="top" wrapText="1"/>
    </xf>
    <xf numFmtId="0" fontId="25" fillId="0" borderId="0" xfId="4495" applyFont="1" applyAlignment="1">
      <alignment horizontal="center" vertical="top"/>
    </xf>
    <xf numFmtId="0" fontId="18" fillId="5" borderId="6" xfId="4495" applyFont="1" applyFill="1" applyBorder="1" applyAlignment="1" applyProtection="1">
      <alignment horizontal="center" vertical="center" wrapText="1" shrinkToFit="1"/>
      <protection locked="0"/>
    </xf>
    <xf numFmtId="0" fontId="18" fillId="0" borderId="3" xfId="4495" applyFont="1" applyBorder="1" applyAlignment="1">
      <alignment horizontal="center"/>
    </xf>
    <xf numFmtId="0" fontId="18" fillId="0" borderId="5" xfId="4495" applyFont="1" applyBorder="1" applyAlignment="1">
      <alignment horizontal="center"/>
    </xf>
    <xf numFmtId="0" fontId="25" fillId="0" borderId="0" xfId="4495" applyFont="1" applyAlignment="1">
      <alignment horizontal="left" wrapText="1"/>
    </xf>
    <xf numFmtId="0" fontId="18" fillId="0" borderId="0" xfId="4495" applyFont="1" applyAlignment="1">
      <alignment wrapText="1"/>
    </xf>
    <xf numFmtId="0" fontId="18" fillId="0" borderId="0" xfId="4495" applyFont="1" applyAlignment="1">
      <alignment horizontal="left"/>
    </xf>
    <xf numFmtId="0" fontId="18" fillId="5" borderId="6" xfId="4495" applyFont="1" applyFill="1" applyBorder="1" applyAlignment="1" applyProtection="1">
      <alignment horizontal="center"/>
      <protection locked="0"/>
    </xf>
    <xf numFmtId="164" fontId="18" fillId="0" borderId="50" xfId="4495" applyNumberFormat="1" applyFont="1" applyBorder="1" applyAlignment="1">
      <alignment horizontal="left" vertical="top" wrapText="1"/>
    </xf>
    <xf numFmtId="164" fontId="18" fillId="0" borderId="51" xfId="4495" applyNumberFormat="1" applyFont="1" applyBorder="1" applyAlignment="1">
      <alignment horizontal="left" vertical="top" wrapText="1"/>
    </xf>
    <xf numFmtId="164" fontId="18" fillId="0" borderId="52" xfId="4495" applyNumberFormat="1" applyFont="1" applyBorder="1" applyAlignment="1">
      <alignment horizontal="left" vertical="top" wrapText="1"/>
    </xf>
    <xf numFmtId="164" fontId="18" fillId="0" borderId="53" xfId="4495" applyNumberFormat="1" applyFont="1" applyBorder="1" applyAlignment="1">
      <alignment horizontal="left" vertical="top" wrapText="1"/>
    </xf>
    <xf numFmtId="164" fontId="18" fillId="0" borderId="0" xfId="4495" applyNumberFormat="1" applyFont="1" applyAlignment="1">
      <alignment horizontal="left" vertical="top" wrapText="1"/>
    </xf>
    <xf numFmtId="164" fontId="18" fillId="0" borderId="54" xfId="4495" applyNumberFormat="1" applyFont="1" applyBorder="1" applyAlignment="1">
      <alignment horizontal="left" vertical="top" wrapText="1"/>
    </xf>
    <xf numFmtId="164" fontId="18" fillId="0" borderId="57" xfId="4495" applyNumberFormat="1" applyFont="1" applyBorder="1" applyAlignment="1">
      <alignment horizontal="left" vertical="top" wrapText="1"/>
    </xf>
    <xf numFmtId="164" fontId="18" fillId="0" borderId="58" xfId="4495" applyNumberFormat="1" applyFont="1" applyBorder="1" applyAlignment="1">
      <alignment horizontal="left" vertical="top" wrapText="1"/>
    </xf>
    <xf numFmtId="164" fontId="18" fillId="0" borderId="59" xfId="4495" applyNumberFormat="1" applyFont="1" applyBorder="1" applyAlignment="1">
      <alignment horizontal="left" vertical="top" wrapText="1"/>
    </xf>
    <xf numFmtId="168" fontId="18" fillId="0" borderId="0" xfId="1192" applyNumberFormat="1" applyAlignment="1">
      <alignment horizontal="right"/>
    </xf>
    <xf numFmtId="168" fontId="18" fillId="0" borderId="6" xfId="1192" applyNumberFormat="1" applyBorder="1" applyAlignment="1">
      <alignment horizontal="right"/>
    </xf>
    <xf numFmtId="168" fontId="18" fillId="43" borderId="6" xfId="543" applyNumberFormat="1" applyFill="1" applyBorder="1" applyAlignment="1" applyProtection="1">
      <alignment horizontal="center"/>
      <protection locked="0"/>
    </xf>
    <xf numFmtId="168" fontId="18" fillId="0" borderId="4" xfId="1192" applyNumberFormat="1" applyBorder="1" applyAlignment="1">
      <alignment horizontal="right"/>
    </xf>
    <xf numFmtId="0" fontId="121" fillId="5" borderId="6" xfId="4495" applyFill="1" applyBorder="1" applyAlignment="1" applyProtection="1">
      <alignment horizontal="center"/>
      <protection locked="0"/>
    </xf>
    <xf numFmtId="0" fontId="119" fillId="0" borderId="4" xfId="1192" applyFont="1" applyBorder="1" applyAlignment="1">
      <alignment horizontal="left"/>
    </xf>
    <xf numFmtId="0" fontId="142" fillId="0" borderId="6" xfId="1192" applyFont="1" applyBorder="1" applyAlignment="1">
      <alignment horizontal="center"/>
    </xf>
    <xf numFmtId="0" fontId="121" fillId="5" borderId="50" xfId="4495" applyFill="1" applyBorder="1" applyAlignment="1">
      <alignment horizontal="center"/>
    </xf>
    <xf numFmtId="0" fontId="121" fillId="5" borderId="51" xfId="4495" applyFill="1" applyBorder="1" applyAlignment="1">
      <alignment horizontal="center"/>
    </xf>
    <xf numFmtId="0" fontId="121" fillId="0" borderId="0" xfId="4495" applyAlignment="1">
      <alignment horizontal="center"/>
    </xf>
    <xf numFmtId="0" fontId="121" fillId="5" borderId="62" xfId="4495" applyFill="1" applyBorder="1" applyAlignment="1">
      <alignment horizontal="center"/>
    </xf>
    <xf numFmtId="0" fontId="121" fillId="5" borderId="63" xfId="4495" applyFill="1" applyBorder="1" applyAlignment="1">
      <alignment horizontal="center"/>
    </xf>
    <xf numFmtId="4" fontId="26" fillId="0" borderId="3" xfId="4495" applyNumberFormat="1" applyFont="1" applyBorder="1" applyAlignment="1">
      <alignment horizontal="center"/>
    </xf>
    <xf numFmtId="4" fontId="26" fillId="0" borderId="4" xfId="4495" applyNumberFormat="1" applyFont="1" applyBorder="1" applyAlignment="1">
      <alignment horizontal="center"/>
    </xf>
    <xf numFmtId="4" fontId="26" fillId="0" borderId="5" xfId="4495" applyNumberFormat="1" applyFont="1" applyBorder="1" applyAlignment="1">
      <alignment horizontal="center"/>
    </xf>
    <xf numFmtId="165" fontId="123" fillId="0" borderId="3" xfId="4496" applyNumberFormat="1" applyFont="1" applyBorder="1" applyAlignment="1">
      <alignment horizontal="center" vertical="top" wrapText="1"/>
    </xf>
    <xf numFmtId="165" fontId="123" fillId="0" borderId="4" xfId="4496" applyNumberFormat="1" applyFont="1" applyBorder="1" applyAlignment="1">
      <alignment horizontal="center" vertical="top" wrapText="1"/>
    </xf>
    <xf numFmtId="165" fontId="123" fillId="0" borderId="5" xfId="4496" applyNumberFormat="1" applyFont="1" applyBorder="1" applyAlignment="1">
      <alignment horizontal="center" vertical="top" wrapText="1"/>
    </xf>
    <xf numFmtId="3" fontId="18" fillId="43" borderId="6" xfId="1192" applyNumberFormat="1" applyFill="1" applyBorder="1" applyAlignment="1" applyProtection="1">
      <alignment horizontal="right"/>
      <protection locked="0"/>
    </xf>
    <xf numFmtId="0" fontId="142" fillId="0" borderId="0" xfId="1192" applyFont="1" applyAlignment="1">
      <alignment horizontal="center"/>
    </xf>
    <xf numFmtId="168" fontId="18" fillId="5" borderId="4" xfId="1192" applyNumberFormat="1" applyFill="1" applyBorder="1" applyAlignment="1" applyProtection="1">
      <alignment horizontal="center"/>
      <protection locked="0"/>
    </xf>
    <xf numFmtId="4" fontId="26" fillId="0" borderId="6" xfId="4495" applyNumberFormat="1" applyFont="1" applyBorder="1" applyAlignment="1">
      <alignment horizontal="center"/>
    </xf>
    <xf numFmtId="1" fontId="18" fillId="5" borderId="2" xfId="1192" applyNumberFormat="1" applyFill="1" applyBorder="1" applyAlignment="1" applyProtection="1">
      <alignment horizontal="center"/>
      <protection locked="0"/>
    </xf>
    <xf numFmtId="4" fontId="26" fillId="0" borderId="0" xfId="4495" applyNumberFormat="1" applyFont="1" applyAlignment="1">
      <alignment horizontal="center"/>
    </xf>
    <xf numFmtId="0" fontId="18" fillId="0" borderId="53" xfId="4495" applyFont="1" applyBorder="1" applyAlignment="1">
      <alignment horizontal="left" vertical="top" wrapText="1"/>
    </xf>
    <xf numFmtId="0" fontId="18" fillId="0" borderId="54" xfId="4495" applyFont="1" applyBorder="1" applyAlignment="1">
      <alignment horizontal="left" vertical="top" wrapText="1"/>
    </xf>
    <xf numFmtId="0" fontId="18" fillId="0" borderId="57" xfId="4495" applyFont="1" applyBorder="1" applyAlignment="1">
      <alignment horizontal="left" vertical="top" wrapText="1"/>
    </xf>
    <xf numFmtId="0" fontId="18" fillId="0" borderId="58" xfId="4495" applyFont="1" applyBorder="1" applyAlignment="1">
      <alignment horizontal="left" vertical="top" wrapText="1"/>
    </xf>
    <xf numFmtId="168" fontId="18" fillId="0" borderId="6" xfId="4496" applyNumberFormat="1" applyFont="1" applyBorder="1" applyAlignment="1">
      <alignment horizontal="center"/>
    </xf>
    <xf numFmtId="168" fontId="18" fillId="0" borderId="4" xfId="4496" applyNumberFormat="1" applyFont="1" applyBorder="1" applyAlignment="1">
      <alignment horizontal="center"/>
    </xf>
    <xf numFmtId="9" fontId="18" fillId="0" borderId="4" xfId="4496" applyNumberFormat="1" applyFont="1" applyBorder="1" applyAlignment="1">
      <alignment horizontal="center"/>
    </xf>
    <xf numFmtId="0" fontId="18" fillId="0" borderId="4" xfId="4495" applyFont="1" applyBorder="1" applyAlignment="1">
      <alignment horizontal="center"/>
    </xf>
    <xf numFmtId="0" fontId="26" fillId="0" borderId="51" xfId="4495" applyFont="1" applyBorder="1" applyAlignment="1">
      <alignment horizontal="left" vertical="top" wrapText="1"/>
    </xf>
    <xf numFmtId="0" fontId="26" fillId="0" borderId="0" xfId="4495" applyFont="1" applyAlignment="1">
      <alignment horizontal="left" vertical="top" wrapText="1"/>
    </xf>
    <xf numFmtId="0" fontId="26" fillId="0" borderId="58" xfId="4495" applyFont="1" applyBorder="1" applyAlignment="1">
      <alignment horizontal="left" vertical="top" wrapText="1"/>
    </xf>
    <xf numFmtId="168" fontId="18" fillId="43" borderId="6" xfId="1192" applyNumberFormat="1" applyFill="1" applyBorder="1" applyAlignment="1" applyProtection="1">
      <alignment horizontal="right"/>
      <protection locked="0"/>
    </xf>
    <xf numFmtId="0" fontId="26" fillId="5" borderId="58" xfId="4495" applyFont="1" applyFill="1" applyBorder="1" applyAlignment="1">
      <alignment horizontal="left"/>
    </xf>
    <xf numFmtId="0" fontId="54" fillId="0" borderId="51" xfId="4495" applyFont="1" applyBorder="1" applyAlignment="1">
      <alignment horizontal="left" vertical="top" wrapText="1"/>
    </xf>
    <xf numFmtId="0" fontId="54" fillId="0" borderId="0" xfId="4495" applyFont="1" applyAlignment="1">
      <alignment horizontal="left" vertical="top" wrapText="1"/>
    </xf>
    <xf numFmtId="9" fontId="26" fillId="5" borderId="58" xfId="4495" applyNumberFormat="1" applyFont="1" applyFill="1" applyBorder="1" applyAlignment="1">
      <alignment horizontal="left"/>
    </xf>
    <xf numFmtId="9" fontId="26" fillId="5" borderId="6" xfId="4495" applyNumberFormat="1" applyFont="1" applyFill="1" applyBorder="1" applyAlignment="1">
      <alignment horizontal="left"/>
    </xf>
    <xf numFmtId="0" fontId="26" fillId="5" borderId="6" xfId="4495" applyFont="1" applyFill="1" applyBorder="1" applyAlignment="1">
      <alignment horizontal="left"/>
    </xf>
    <xf numFmtId="0" fontId="25" fillId="0" borderId="0" xfId="4495" applyFont="1" applyAlignment="1">
      <alignment horizontal="right"/>
    </xf>
    <xf numFmtId="0" fontId="54" fillId="0" borderId="51" xfId="4495" applyFont="1" applyBorder="1" applyAlignment="1">
      <alignment horizontal="left" wrapText="1"/>
    </xf>
    <xf numFmtId="0" fontId="54" fillId="0" borderId="0" xfId="4495" applyFont="1" applyAlignment="1">
      <alignment horizontal="left" wrapText="1"/>
    </xf>
    <xf numFmtId="0" fontId="18" fillId="0" borderId="50" xfId="4495" applyFont="1" applyBorder="1" applyAlignment="1">
      <alignment horizontal="left" vertical="center" wrapText="1"/>
    </xf>
    <xf numFmtId="0" fontId="18" fillId="0" borderId="51" xfId="4495" applyFont="1" applyBorder="1" applyAlignment="1">
      <alignment horizontal="left" vertical="center" wrapText="1"/>
    </xf>
    <xf numFmtId="0" fontId="18" fillId="0" borderId="52" xfId="4495" applyFont="1" applyBorder="1" applyAlignment="1">
      <alignment horizontal="left" vertical="center" wrapText="1"/>
    </xf>
    <xf numFmtId="0" fontId="18" fillId="0" borderId="53" xfId="4495" applyFont="1" applyBorder="1" applyAlignment="1">
      <alignment horizontal="left" vertical="center" wrapText="1"/>
    </xf>
    <xf numFmtId="0" fontId="18" fillId="0" borderId="0" xfId="4495" applyFont="1" applyAlignment="1">
      <alignment horizontal="left" vertical="center" wrapText="1"/>
    </xf>
    <xf numFmtId="0" fontId="18" fillId="0" borderId="54" xfId="4495" applyFont="1" applyBorder="1" applyAlignment="1">
      <alignment horizontal="left" vertical="center" wrapText="1"/>
    </xf>
    <xf numFmtId="10" fontId="26" fillId="0" borderId="2" xfId="4495" applyNumberFormat="1" applyFont="1" applyBorder="1" applyAlignment="1">
      <alignment horizontal="center"/>
    </xf>
    <xf numFmtId="0" fontId="26" fillId="0" borderId="0" xfId="4495" applyFont="1" applyAlignment="1">
      <alignment horizontal="center"/>
    </xf>
    <xf numFmtId="0" fontId="130" fillId="0" borderId="0" xfId="4495" applyFont="1" applyAlignment="1">
      <alignment horizontal="left" vertical="top" wrapText="1"/>
    </xf>
    <xf numFmtId="0" fontId="34" fillId="42" borderId="2" xfId="4495" applyFont="1" applyFill="1" applyBorder="1" applyAlignment="1">
      <alignment horizontal="center"/>
    </xf>
    <xf numFmtId="0" fontId="34" fillId="42" borderId="6" xfId="4495" applyFont="1" applyFill="1" applyBorder="1" applyAlignment="1">
      <alignment horizontal="center"/>
    </xf>
    <xf numFmtId="0" fontId="25" fillId="0" borderId="11" xfId="4495" applyFont="1" applyBorder="1" applyAlignment="1">
      <alignment horizontal="center"/>
    </xf>
    <xf numFmtId="0" fontId="121" fillId="5" borderId="55" xfId="4495" applyFill="1" applyBorder="1" applyAlignment="1" applyProtection="1">
      <alignment horizontal="center"/>
      <protection locked="0"/>
    </xf>
    <xf numFmtId="0" fontId="25" fillId="0" borderId="0" xfId="4495" applyFont="1" applyAlignment="1">
      <alignment horizontal="center"/>
    </xf>
    <xf numFmtId="0" fontId="25" fillId="0" borderId="54" xfId="4495" applyFont="1" applyBorder="1" applyAlignment="1">
      <alignment horizontal="center"/>
    </xf>
    <xf numFmtId="0" fontId="25" fillId="0" borderId="51" xfId="4495" applyFont="1" applyBorder="1" applyAlignment="1">
      <alignment horizontal="center" vertical="top"/>
    </xf>
    <xf numFmtId="0" fontId="25" fillId="0" borderId="52" xfId="4495" applyFont="1" applyBorder="1" applyAlignment="1">
      <alignment horizontal="center" vertical="top"/>
    </xf>
    <xf numFmtId="0" fontId="18" fillId="0" borderId="6" xfId="1192" applyBorder="1" applyAlignment="1">
      <alignment horizontal="right"/>
    </xf>
    <xf numFmtId="9" fontId="18" fillId="5" borderId="4" xfId="1192" applyNumberFormat="1" applyFill="1" applyBorder="1" applyAlignment="1" applyProtection="1">
      <alignment horizontal="left"/>
      <protection locked="0"/>
    </xf>
    <xf numFmtId="0" fontId="25" fillId="0" borderId="54" xfId="4495" applyFont="1" applyBorder="1" applyAlignment="1">
      <alignment horizontal="center" vertical="top"/>
    </xf>
    <xf numFmtId="0" fontId="121" fillId="0" borderId="53" xfId="4495" applyBorder="1" applyAlignment="1">
      <alignment horizontal="center"/>
    </xf>
    <xf numFmtId="0" fontId="26" fillId="5" borderId="0" xfId="4495" applyFont="1" applyFill="1" applyAlignment="1">
      <alignment horizontal="left" vertical="top"/>
    </xf>
    <xf numFmtId="0" fontId="121" fillId="5" borderId="53" xfId="4495" applyFill="1" applyBorder="1" applyAlignment="1">
      <alignment horizontal="center"/>
    </xf>
    <xf numFmtId="0" fontId="121" fillId="5" borderId="0" xfId="4495" applyFill="1" applyAlignment="1">
      <alignment horizontal="center"/>
    </xf>
    <xf numFmtId="0" fontId="121" fillId="5" borderId="55" xfId="4495" applyFill="1" applyBorder="1" applyAlignment="1">
      <alignment horizontal="center"/>
    </xf>
    <xf numFmtId="0" fontId="121" fillId="5" borderId="6" xfId="4495" applyFill="1" applyBorder="1" applyAlignment="1">
      <alignment horizontal="center"/>
    </xf>
    <xf numFmtId="0" fontId="26" fillId="5" borderId="0" xfId="4495" applyFont="1" applyFill="1" applyAlignment="1">
      <alignment horizontal="left" vertical="top" wrapText="1"/>
    </xf>
    <xf numFmtId="0" fontId="26" fillId="5" borderId="58" xfId="4495" applyFont="1" applyFill="1" applyBorder="1" applyAlignment="1">
      <alignment horizontal="left" vertical="top" wrapText="1"/>
    </xf>
    <xf numFmtId="0" fontId="25" fillId="0" borderId="4" xfId="4495" applyFont="1" applyBorder="1" applyAlignment="1">
      <alignment horizontal="left"/>
    </xf>
    <xf numFmtId="0" fontId="25" fillId="0" borderId="5" xfId="4495" applyFont="1" applyBorder="1" applyAlignment="1">
      <alignment horizontal="left"/>
    </xf>
    <xf numFmtId="1" fontId="25" fillId="0" borderId="11" xfId="4495" applyNumberFormat="1" applyFont="1" applyBorder="1" applyAlignment="1">
      <alignment horizontal="center"/>
    </xf>
    <xf numFmtId="0" fontId="25" fillId="0" borderId="3" xfId="4495" applyFont="1" applyBorder="1" applyAlignment="1">
      <alignment horizontal="center" wrapText="1"/>
    </xf>
    <xf numFmtId="0" fontId="25" fillId="0" borderId="4" xfId="4495" applyFont="1" applyBorder="1" applyAlignment="1">
      <alignment horizontal="center" wrapText="1"/>
    </xf>
    <xf numFmtId="0" fontId="25" fillId="0" borderId="5" xfId="4495" applyFont="1" applyBorder="1" applyAlignment="1">
      <alignment horizontal="center" wrapText="1"/>
    </xf>
    <xf numFmtId="0" fontId="18" fillId="0" borderId="4" xfId="4495" applyFont="1" applyBorder="1" applyAlignment="1">
      <alignment horizontal="left"/>
    </xf>
    <xf numFmtId="0" fontId="18" fillId="0" borderId="5" xfId="4495" applyFont="1" applyBorder="1" applyAlignment="1">
      <alignment horizontal="left"/>
    </xf>
    <xf numFmtId="1" fontId="18" fillId="0" borderId="11" xfId="4495" applyNumberFormat="1" applyFont="1" applyBorder="1" applyAlignment="1">
      <alignment horizontal="center"/>
    </xf>
    <xf numFmtId="0" fontId="18" fillId="0" borderId="11" xfId="4495" applyFont="1" applyBorder="1" applyAlignment="1">
      <alignment horizontal="center"/>
    </xf>
    <xf numFmtId="1" fontId="18" fillId="46" borderId="11" xfId="4495" applyNumberFormat="1" applyFont="1" applyFill="1" applyBorder="1" applyAlignment="1">
      <alignment horizontal="center"/>
    </xf>
    <xf numFmtId="0" fontId="25" fillId="0" borderId="3" xfId="4495" applyFont="1" applyBorder="1" applyAlignment="1">
      <alignment horizontal="center"/>
    </xf>
    <xf numFmtId="0" fontId="25" fillId="0" borderId="4" xfId="4495" applyFont="1" applyBorder="1" applyAlignment="1">
      <alignment horizontal="center"/>
    </xf>
    <xf numFmtId="0" fontId="25" fillId="0" borderId="5" xfId="4495" applyFont="1" applyBorder="1" applyAlignment="1">
      <alignment horizontal="center"/>
    </xf>
    <xf numFmtId="0" fontId="18" fillId="5" borderId="11" xfId="4495" applyFont="1" applyFill="1" applyBorder="1" applyAlignment="1" applyProtection="1">
      <alignment horizontal="center"/>
      <protection locked="0"/>
    </xf>
    <xf numFmtId="164" fontId="65" fillId="0" borderId="1" xfId="4495" applyNumberFormat="1" applyFont="1" applyBorder="1" applyAlignment="1">
      <alignment horizontal="right" vertical="center"/>
    </xf>
    <xf numFmtId="164" fontId="65" fillId="0" borderId="2" xfId="4495" applyNumberFormat="1" applyFont="1" applyBorder="1" applyAlignment="1">
      <alignment horizontal="right" vertical="center"/>
    </xf>
    <xf numFmtId="164" fontId="65" fillId="0" borderId="7" xfId="4495" applyNumberFormat="1" applyFont="1" applyBorder="1" applyAlignment="1">
      <alignment horizontal="right" vertical="center"/>
    </xf>
    <xf numFmtId="164" fontId="65" fillId="0" borderId="9" xfId="4495" applyNumberFormat="1" applyFont="1" applyBorder="1" applyAlignment="1">
      <alignment horizontal="right" vertical="center"/>
    </xf>
    <xf numFmtId="164" fontId="65" fillId="0" borderId="6" xfId="4495" applyNumberFormat="1" applyFont="1" applyBorder="1" applyAlignment="1">
      <alignment horizontal="right" vertical="center"/>
    </xf>
    <xf numFmtId="164" fontId="65" fillId="0" borderId="10" xfId="4495" applyNumberFormat="1" applyFont="1" applyBorder="1" applyAlignment="1">
      <alignment horizontal="right" vertical="center"/>
    </xf>
    <xf numFmtId="180" fontId="65" fillId="0" borderId="1" xfId="4495" applyNumberFormat="1" applyFont="1" applyBorder="1" applyAlignment="1">
      <alignment horizontal="center" vertical="center"/>
    </xf>
    <xf numFmtId="180" fontId="65" fillId="0" borderId="2" xfId="4495" applyNumberFormat="1" applyFont="1" applyBorder="1" applyAlignment="1">
      <alignment horizontal="center" vertical="center"/>
    </xf>
    <xf numFmtId="180" fontId="65" fillId="0" borderId="7" xfId="4495" applyNumberFormat="1" applyFont="1" applyBorder="1" applyAlignment="1">
      <alignment horizontal="center" vertical="center"/>
    </xf>
    <xf numFmtId="180" fontId="65" fillId="0" borderId="9" xfId="4495" applyNumberFormat="1" applyFont="1" applyBorder="1" applyAlignment="1">
      <alignment horizontal="center" vertical="center"/>
    </xf>
    <xf numFmtId="180" fontId="65" fillId="0" borderId="6" xfId="4495" applyNumberFormat="1" applyFont="1" applyBorder="1" applyAlignment="1">
      <alignment horizontal="center" vertical="center"/>
    </xf>
    <xf numFmtId="180" fontId="65" fillId="0" borderId="10" xfId="4495" applyNumberFormat="1" applyFont="1" applyBorder="1" applyAlignment="1">
      <alignment horizontal="center" vertical="center"/>
    </xf>
    <xf numFmtId="1" fontId="25" fillId="0" borderId="4" xfId="4495" applyNumberFormat="1" applyFont="1" applyBorder="1" applyAlignment="1">
      <alignment horizontal="center" wrapText="1"/>
    </xf>
    <xf numFmtId="0" fontId="18" fillId="0" borderId="50" xfId="4496" applyFont="1" applyBorder="1" applyAlignment="1">
      <alignment horizontal="left" wrapText="1"/>
    </xf>
    <xf numFmtId="0" fontId="18" fillId="0" borderId="51" xfId="4496" applyFont="1" applyBorder="1" applyAlignment="1">
      <alignment horizontal="left" wrapText="1"/>
    </xf>
    <xf numFmtId="0" fontId="18" fillId="0" borderId="52" xfId="4496" applyFont="1" applyBorder="1" applyAlignment="1">
      <alignment horizontal="left" wrapText="1"/>
    </xf>
    <xf numFmtId="0" fontId="18" fillId="0" borderId="53" xfId="4496" applyFont="1" applyBorder="1" applyAlignment="1">
      <alignment horizontal="left" wrapText="1"/>
    </xf>
    <xf numFmtId="0" fontId="18" fillId="0" borderId="0" xfId="4496" applyFont="1" applyAlignment="1">
      <alignment horizontal="left" wrapText="1"/>
    </xf>
    <xf numFmtId="0" fontId="18" fillId="0" borderId="54" xfId="4496" applyFont="1" applyBorder="1" applyAlignment="1">
      <alignment horizontal="left" wrapText="1"/>
    </xf>
    <xf numFmtId="0" fontId="18" fillId="0" borderId="57" xfId="4496" applyFont="1" applyBorder="1" applyAlignment="1">
      <alignment horizontal="left" wrapText="1"/>
    </xf>
    <xf numFmtId="0" fontId="18" fillId="0" borderId="58" xfId="4496" applyFont="1" applyBorder="1" applyAlignment="1">
      <alignment horizontal="left" wrapText="1"/>
    </xf>
    <xf numFmtId="0" fontId="18" fillId="0" borderId="59" xfId="4496" applyFont="1" applyBorder="1" applyAlignment="1">
      <alignment horizontal="left" wrapText="1"/>
    </xf>
    <xf numFmtId="1" fontId="18" fillId="0" borderId="4" xfId="4496" applyNumberFormat="1" applyFont="1" applyBorder="1" applyAlignment="1">
      <alignment horizontal="center"/>
    </xf>
    <xf numFmtId="1" fontId="18" fillId="0" borderId="5" xfId="4496" applyNumberFormat="1" applyFont="1" applyBorder="1" applyAlignment="1">
      <alignment horizontal="center"/>
    </xf>
    <xf numFmtId="49" fontId="24" fillId="3" borderId="2" xfId="4495" applyNumberFormat="1" applyFont="1" applyFill="1" applyBorder="1" applyAlignment="1">
      <alignment horizontal="center" vertical="center" wrapText="1"/>
    </xf>
    <xf numFmtId="49" fontId="24" fillId="3" borderId="2" xfId="4495" applyNumberFormat="1" applyFont="1" applyFill="1" applyBorder="1" applyAlignment="1">
      <alignment horizontal="center" vertical="center"/>
    </xf>
    <xf numFmtId="49" fontId="24" fillId="3" borderId="0" xfId="4495" applyNumberFormat="1" applyFont="1" applyFill="1" applyAlignment="1">
      <alignment horizontal="center" vertical="center"/>
    </xf>
    <xf numFmtId="0" fontId="25" fillId="0" borderId="1" xfId="4495" applyFont="1" applyBorder="1" applyAlignment="1">
      <alignment horizontal="center" wrapText="1"/>
    </xf>
    <xf numFmtId="0" fontId="25" fillId="0" borderId="2" xfId="4495" applyFont="1" applyBorder="1" applyAlignment="1">
      <alignment horizontal="center" wrapText="1"/>
    </xf>
    <xf numFmtId="0" fontId="25" fillId="0" borderId="7" xfId="4495" applyFont="1" applyBorder="1" applyAlignment="1">
      <alignment horizontal="center" wrapText="1"/>
    </xf>
    <xf numFmtId="0" fontId="25" fillId="0" borderId="9" xfId="4495" applyFont="1" applyBorder="1" applyAlignment="1">
      <alignment horizontal="center" wrapText="1"/>
    </xf>
    <xf numFmtId="0" fontId="25" fillId="0" borderId="6" xfId="4495" applyFont="1" applyBorder="1" applyAlignment="1">
      <alignment horizontal="center" wrapText="1"/>
    </xf>
    <xf numFmtId="0" fontId="25" fillId="0" borderId="10" xfId="4495" applyFont="1" applyBorder="1" applyAlignment="1">
      <alignment horizontal="center" wrapText="1"/>
    </xf>
    <xf numFmtId="0" fontId="18" fillId="45" borderId="11" xfId="4495" applyFont="1" applyFill="1" applyBorder="1" applyAlignment="1">
      <alignment horizontal="center"/>
    </xf>
    <xf numFmtId="0" fontId="130" fillId="0" borderId="0" xfId="4495" applyFont="1" applyAlignment="1">
      <alignment horizontal="left" vertical="center" wrapText="1"/>
    </xf>
    <xf numFmtId="0" fontId="25" fillId="0" borderId="0" xfId="4495" applyFont="1" applyAlignment="1">
      <alignment horizontal="left" vertical="top" wrapText="1"/>
    </xf>
    <xf numFmtId="0" fontId="18" fillId="0" borderId="0" xfId="4495" applyFont="1" applyAlignment="1">
      <alignment horizontal="left" vertical="top" wrapText="1" shrinkToFit="1"/>
    </xf>
    <xf numFmtId="44" fontId="18" fillId="0" borderId="0" xfId="707" applyFont="1" applyFill="1" applyBorder="1" applyAlignment="1" applyProtection="1">
      <alignment horizontal="left" vertical="top" wrapText="1"/>
    </xf>
    <xf numFmtId="0" fontId="18" fillId="0" borderId="0" xfId="4495" applyFont="1" applyAlignment="1">
      <alignment horizontal="left" vertical="center" wrapText="1" shrinkToFit="1"/>
    </xf>
    <xf numFmtId="0" fontId="18" fillId="5" borderId="6" xfId="4495" applyFont="1" applyFill="1" applyBorder="1" applyAlignment="1" applyProtection="1">
      <alignment horizontal="left" wrapText="1" shrinkToFit="1"/>
      <protection locked="0"/>
    </xf>
    <xf numFmtId="0" fontId="18" fillId="43" borderId="6" xfId="1192" applyFill="1" applyBorder="1" applyAlignment="1" applyProtection="1">
      <alignment horizontal="left" vertical="top"/>
      <protection locked="0"/>
    </xf>
    <xf numFmtId="0" fontId="157" fillId="0" borderId="0" xfId="0" applyFont="1" applyAlignment="1" applyProtection="1">
      <alignment horizontal="left"/>
      <protection locked="0"/>
    </xf>
    <xf numFmtId="168" fontId="156" fillId="0" borderId="0" xfId="0" applyNumberFormat="1" applyFont="1" applyAlignment="1">
      <alignment horizontal="center" vertical="top" wrapText="1"/>
    </xf>
    <xf numFmtId="168" fontId="156" fillId="0" borderId="12" xfId="0" applyNumberFormat="1" applyFont="1" applyBorder="1" applyAlignment="1">
      <alignment horizontal="center" vertical="top" wrapText="1"/>
    </xf>
    <xf numFmtId="0" fontId="18" fillId="43" borderId="53" xfId="4495" applyFont="1" applyFill="1" applyBorder="1" applyAlignment="1" applyProtection="1">
      <alignment vertical="top" wrapText="1"/>
      <protection locked="0"/>
    </xf>
    <xf numFmtId="0" fontId="18" fillId="43" borderId="0" xfId="4495" applyFont="1" applyFill="1" applyAlignment="1" applyProtection="1">
      <alignment vertical="top" wrapText="1"/>
      <protection locked="0"/>
    </xf>
    <xf numFmtId="0" fontId="18" fillId="43" borderId="54" xfId="4495" applyFont="1" applyFill="1" applyBorder="1" applyAlignment="1" applyProtection="1">
      <alignment vertical="top" wrapText="1"/>
      <protection locked="0"/>
    </xf>
    <xf numFmtId="0" fontId="18" fillId="43" borderId="55" xfId="4495" applyFont="1" applyFill="1" applyBorder="1" applyAlignment="1" applyProtection="1">
      <alignment vertical="top" wrapText="1"/>
      <protection locked="0"/>
    </xf>
    <xf numFmtId="0" fontId="18" fillId="43" borderId="6" xfId="4495" applyFont="1" applyFill="1" applyBorder="1" applyAlignment="1" applyProtection="1">
      <alignment vertical="top" wrapText="1"/>
      <protection locked="0"/>
    </xf>
    <xf numFmtId="0" fontId="18" fillId="43" borderId="56" xfId="4495" applyFont="1" applyFill="1" applyBorder="1" applyAlignment="1" applyProtection="1">
      <alignment vertical="top" wrapText="1"/>
      <protection locked="0"/>
    </xf>
    <xf numFmtId="0" fontId="18" fillId="43" borderId="0" xfId="4495" applyFont="1" applyFill="1" applyAlignment="1" applyProtection="1">
      <alignment horizontal="left" vertical="center" wrapText="1"/>
      <protection locked="0"/>
    </xf>
    <xf numFmtId="0" fontId="18" fillId="43" borderId="54" xfId="4495" applyFont="1" applyFill="1" applyBorder="1" applyAlignment="1" applyProtection="1">
      <alignment horizontal="left" vertical="center" wrapText="1"/>
      <protection locked="0"/>
    </xf>
    <xf numFmtId="0" fontId="18" fillId="43" borderId="6" xfId="4495" applyFont="1" applyFill="1" applyBorder="1" applyAlignment="1" applyProtection="1">
      <alignment horizontal="left" vertical="center" wrapText="1"/>
      <protection locked="0"/>
    </xf>
    <xf numFmtId="0" fontId="18" fillId="43" borderId="56" xfId="4495" applyFont="1" applyFill="1" applyBorder="1" applyAlignment="1" applyProtection="1">
      <alignment horizontal="left" vertical="center" wrapText="1"/>
      <protection locked="0"/>
    </xf>
    <xf numFmtId="0" fontId="121" fillId="5" borderId="62" xfId="4495" applyFill="1" applyBorder="1" applyAlignment="1" applyProtection="1">
      <alignment horizontal="center"/>
      <protection locked="0"/>
    </xf>
    <xf numFmtId="0" fontId="121" fillId="5" borderId="63" xfId="4495" applyFill="1" applyBorder="1" applyAlignment="1" applyProtection="1">
      <alignment horizontal="center"/>
      <protection locked="0"/>
    </xf>
    <xf numFmtId="0" fontId="123" fillId="0" borderId="50" xfId="4496" applyFont="1" applyBorder="1" applyAlignment="1">
      <alignment horizontal="left" wrapText="1"/>
    </xf>
    <xf numFmtId="0" fontId="123" fillId="0" borderId="51" xfId="4496" applyFont="1" applyBorder="1" applyAlignment="1">
      <alignment horizontal="left" wrapText="1"/>
    </xf>
    <xf numFmtId="0" fontId="123" fillId="0" borderId="52" xfId="4496" applyFont="1" applyBorder="1" applyAlignment="1">
      <alignment horizontal="left" wrapText="1"/>
    </xf>
    <xf numFmtId="0" fontId="123" fillId="0" borderId="57" xfId="4496" applyFont="1" applyBorder="1" applyAlignment="1">
      <alignment horizontal="left" wrapText="1"/>
    </xf>
    <xf numFmtId="0" fontId="123" fillId="0" borderId="58" xfId="4496" applyFont="1" applyBorder="1" applyAlignment="1">
      <alignment horizontal="left" wrapText="1"/>
    </xf>
    <xf numFmtId="0" fontId="123" fillId="0" borderId="59" xfId="4496" applyFont="1" applyBorder="1" applyAlignment="1">
      <alignment horizontal="left" wrapText="1"/>
    </xf>
    <xf numFmtId="0" fontId="18" fillId="5" borderId="6" xfId="1192" applyFill="1" applyBorder="1" applyAlignment="1" applyProtection="1">
      <alignment horizontal="left"/>
      <protection locked="0"/>
    </xf>
    <xf numFmtId="165" fontId="18" fillId="0" borderId="0" xfId="1192" applyNumberFormat="1" applyAlignment="1">
      <alignment horizontal="right"/>
    </xf>
    <xf numFmtId="0" fontId="18" fillId="0" borderId="59" xfId="4495" applyFont="1" applyBorder="1" applyAlignment="1">
      <alignment horizontal="left" vertical="top" wrapText="1"/>
    </xf>
    <xf numFmtId="0" fontId="18" fillId="0" borderId="4" xfId="4496" applyFont="1" applyBorder="1" applyAlignment="1">
      <alignment horizontal="center"/>
    </xf>
    <xf numFmtId="0" fontId="18" fillId="0" borderId="5" xfId="4496" applyFont="1" applyBorder="1" applyAlignment="1">
      <alignment horizontal="center"/>
    </xf>
    <xf numFmtId="0" fontId="18" fillId="0" borderId="50" xfId="4495" applyFont="1" applyBorder="1" applyAlignment="1">
      <alignment horizontal="left" vertical="top" wrapText="1"/>
    </xf>
    <xf numFmtId="0" fontId="18" fillId="0" borderId="51" xfId="4495" applyFont="1" applyBorder="1" applyAlignment="1">
      <alignment horizontal="left" vertical="top" wrapText="1"/>
    </xf>
    <xf numFmtId="0" fontId="18" fillId="0" borderId="52" xfId="4495" applyFont="1" applyBorder="1" applyAlignment="1">
      <alignment horizontal="left" vertical="top" wrapText="1"/>
    </xf>
    <xf numFmtId="0" fontId="25" fillId="0" borderId="0" xfId="4495" applyFont="1"/>
    <xf numFmtId="0" fontId="18" fillId="0" borderId="6" xfId="1192" applyBorder="1" applyAlignment="1">
      <alignment horizontal="left"/>
    </xf>
    <xf numFmtId="2" fontId="18" fillId="0" borderId="0" xfId="1192" applyNumberFormat="1" applyAlignment="1">
      <alignment horizontal="right"/>
    </xf>
    <xf numFmtId="0" fontId="25" fillId="0" borderId="0" xfId="4495" applyFont="1" applyAlignment="1">
      <alignment horizontal="left" vertical="top"/>
    </xf>
    <xf numFmtId="0" fontId="121" fillId="0" borderId="0" xfId="4495" applyAlignment="1" applyProtection="1">
      <alignment horizontal="center"/>
      <protection locked="0"/>
    </xf>
    <xf numFmtId="9" fontId="18" fillId="0" borderId="4" xfId="543" applyNumberFormat="1" applyBorder="1" applyAlignment="1">
      <alignment horizontal="center"/>
    </xf>
    <xf numFmtId="168" fontId="18" fillId="0" borderId="6" xfId="4495" applyNumberFormat="1" applyFont="1" applyBorder="1" applyAlignment="1">
      <alignment horizontal="right"/>
    </xf>
    <xf numFmtId="168" fontId="119" fillId="0" borderId="6" xfId="4495" applyNumberFormat="1" applyFont="1" applyBorder="1" applyAlignment="1">
      <alignment horizontal="right"/>
    </xf>
    <xf numFmtId="168" fontId="18" fillId="43" borderId="6" xfId="4495" applyNumberFormat="1" applyFont="1" applyFill="1" applyBorder="1" applyAlignment="1" applyProtection="1">
      <alignment horizontal="right"/>
      <protection locked="0"/>
    </xf>
    <xf numFmtId="6" fontId="18" fillId="0" borderId="3" xfId="1192" applyNumberFormat="1" applyBorder="1" applyAlignment="1">
      <alignment horizontal="right"/>
    </xf>
    <xf numFmtId="6" fontId="18" fillId="0" borderId="4" xfId="1192" applyNumberFormat="1" applyBorder="1" applyAlignment="1">
      <alignment horizontal="right"/>
    </xf>
    <xf numFmtId="6" fontId="18" fillId="0" borderId="5" xfId="1192" applyNumberFormat="1" applyBorder="1" applyAlignment="1">
      <alignment horizontal="right"/>
    </xf>
    <xf numFmtId="168" fontId="18" fillId="0" borderId="4" xfId="4495" applyNumberFormat="1" applyFont="1" applyBorder="1" applyAlignment="1">
      <alignment horizontal="right"/>
    </xf>
    <xf numFmtId="165" fontId="18" fillId="43" borderId="3" xfId="4495" applyNumberFormat="1" applyFont="1" applyFill="1" applyBorder="1" applyAlignment="1" applyProtection="1">
      <alignment horizontal="center"/>
      <protection locked="0"/>
    </xf>
    <xf numFmtId="165" fontId="18" fillId="43" borderId="4" xfId="4495" applyNumberFormat="1" applyFont="1" applyFill="1" applyBorder="1" applyAlignment="1" applyProtection="1">
      <alignment horizontal="center"/>
      <protection locked="0"/>
    </xf>
    <xf numFmtId="165" fontId="18" fillId="43" borderId="5" xfId="4495" applyNumberFormat="1" applyFont="1" applyFill="1" applyBorder="1" applyAlignment="1" applyProtection="1">
      <alignment horizontal="center"/>
      <protection locked="0"/>
    </xf>
    <xf numFmtId="165" fontId="18" fillId="0" borderId="6" xfId="1192" applyNumberFormat="1" applyBorder="1" applyAlignment="1">
      <alignment horizontal="right"/>
    </xf>
    <xf numFmtId="168" fontId="18" fillId="0" borderId="2" xfId="1192" applyNumberFormat="1" applyBorder="1" applyAlignment="1">
      <alignment horizontal="right"/>
    </xf>
    <xf numFmtId="1" fontId="18" fillId="0" borderId="3" xfId="4495" applyNumberFormat="1" applyFont="1" applyBorder="1" applyAlignment="1">
      <alignment horizontal="center"/>
    </xf>
    <xf numFmtId="1" fontId="18" fillId="0" borderId="4" xfId="4495" applyNumberFormat="1" applyFont="1" applyBorder="1" applyAlignment="1">
      <alignment horizontal="center"/>
    </xf>
    <xf numFmtId="1" fontId="18" fillId="0" borderId="5" xfId="4495" applyNumberFormat="1" applyFont="1" applyBorder="1" applyAlignment="1">
      <alignment horizontal="center"/>
    </xf>
    <xf numFmtId="0" fontId="26" fillId="5" borderId="6" xfId="4495" applyFont="1" applyFill="1" applyBorder="1" applyAlignment="1" applyProtection="1">
      <alignment horizontal="left"/>
      <protection locked="0"/>
    </xf>
    <xf numFmtId="0" fontId="18" fillId="5" borderId="6" xfId="4495" applyFont="1" applyFill="1" applyBorder="1" applyAlignment="1" applyProtection="1">
      <alignment horizontal="left"/>
      <protection locked="0"/>
    </xf>
    <xf numFmtId="0" fontId="54" fillId="5" borderId="6" xfId="4495" applyFont="1" applyFill="1" applyBorder="1" applyAlignment="1" applyProtection="1">
      <alignment horizontal="left"/>
      <protection locked="0"/>
    </xf>
    <xf numFmtId="0" fontId="18" fillId="44" borderId="6" xfId="4495" applyFont="1" applyFill="1" applyBorder="1" applyAlignment="1">
      <alignment horizontal="left"/>
    </xf>
    <xf numFmtId="0" fontId="18" fillId="0" borderId="0" xfId="1192" applyAlignment="1">
      <alignment horizontal="right"/>
    </xf>
    <xf numFmtId="0" fontId="123" fillId="5" borderId="6" xfId="4496" applyFont="1" applyFill="1" applyBorder="1" applyAlignment="1" applyProtection="1">
      <alignment horizontal="center"/>
      <protection locked="0"/>
    </xf>
    <xf numFmtId="0" fontId="123" fillId="0" borderId="50" xfId="4496" applyFont="1" applyBorder="1" applyAlignment="1">
      <alignment horizontal="left" vertical="top" wrapText="1"/>
    </xf>
    <xf numFmtId="0" fontId="123" fillId="0" borderId="51" xfId="4496" applyFont="1" applyBorder="1" applyAlignment="1">
      <alignment horizontal="left" vertical="top" wrapText="1"/>
    </xf>
    <xf numFmtId="0" fontId="123" fillId="0" borderId="52" xfId="4496" applyFont="1" applyBorder="1" applyAlignment="1">
      <alignment horizontal="left" vertical="top" wrapText="1"/>
    </xf>
    <xf numFmtId="0" fontId="123" fillId="0" borderId="53" xfId="4496" applyFont="1" applyBorder="1" applyAlignment="1">
      <alignment horizontal="left" vertical="top" wrapText="1"/>
    </xf>
    <xf numFmtId="0" fontId="123" fillId="0" borderId="0" xfId="4496" applyFont="1" applyAlignment="1">
      <alignment horizontal="left" vertical="top" wrapText="1"/>
    </xf>
    <xf numFmtId="0" fontId="123" fillId="0" borderId="54" xfId="4496" applyFont="1" applyBorder="1" applyAlignment="1">
      <alignment horizontal="left" vertical="top" wrapText="1"/>
    </xf>
    <xf numFmtId="9" fontId="18" fillId="0" borderId="6" xfId="1192" applyNumberFormat="1" applyBorder="1" applyAlignment="1">
      <alignment horizontal="center"/>
    </xf>
    <xf numFmtId="9" fontId="18" fillId="0" borderId="6" xfId="1192" quotePrefix="1" applyNumberFormat="1" applyBorder="1" applyAlignment="1">
      <alignment horizontal="center"/>
    </xf>
    <xf numFmtId="9" fontId="18" fillId="0" borderId="0" xfId="1192" quotePrefix="1" applyNumberFormat="1" applyAlignment="1">
      <alignment horizontal="center"/>
    </xf>
    <xf numFmtId="1" fontId="18" fillId="5" borderId="4" xfId="1192" applyNumberFormat="1" applyFill="1" applyBorder="1" applyAlignment="1" applyProtection="1">
      <alignment horizontal="center"/>
      <protection locked="0"/>
    </xf>
    <xf numFmtId="1" fontId="123" fillId="0" borderId="55" xfId="4496" applyNumberFormat="1" applyFont="1" applyBorder="1" applyAlignment="1">
      <alignment horizontal="center" vertical="top" wrapText="1"/>
    </xf>
    <xf numFmtId="1" fontId="123" fillId="0" borderId="6" xfId="4496" applyNumberFormat="1" applyFont="1" applyBorder="1" applyAlignment="1">
      <alignment horizontal="center" vertical="top" wrapText="1"/>
    </xf>
    <xf numFmtId="165" fontId="123" fillId="0" borderId="55" xfId="4496" applyNumberFormat="1" applyFont="1" applyBorder="1" applyAlignment="1">
      <alignment horizontal="center" vertical="top" wrapText="1"/>
    </xf>
    <xf numFmtId="165" fontId="123" fillId="0" borderId="6" xfId="4496" applyNumberFormat="1" applyFont="1" applyBorder="1" applyAlignment="1">
      <alignment horizontal="center" vertical="top" wrapText="1"/>
    </xf>
    <xf numFmtId="168" fontId="123" fillId="43" borderId="55" xfId="4496" applyNumberFormat="1" applyFont="1" applyFill="1" applyBorder="1" applyAlignment="1" applyProtection="1">
      <alignment horizontal="center" vertical="top" wrapText="1"/>
      <protection locked="0"/>
    </xf>
    <xf numFmtId="168" fontId="123" fillId="43" borderId="6" xfId="4496" applyNumberFormat="1" applyFont="1" applyFill="1" applyBorder="1" applyAlignment="1" applyProtection="1">
      <alignment horizontal="center" vertical="top" wrapText="1"/>
      <protection locked="0"/>
    </xf>
    <xf numFmtId="0" fontId="18" fillId="0" borderId="57" xfId="4495" applyFont="1" applyBorder="1" applyAlignment="1">
      <alignment horizontal="left" vertical="center" wrapText="1"/>
    </xf>
    <xf numFmtId="0" fontId="18" fillId="0" borderId="58" xfId="4495" applyFont="1" applyBorder="1" applyAlignment="1">
      <alignment horizontal="left" vertical="center" wrapText="1"/>
    </xf>
    <xf numFmtId="0" fontId="18" fillId="0" borderId="59" xfId="4495" applyFont="1" applyBorder="1" applyAlignment="1">
      <alignment horizontal="left" vertical="center" wrapText="1"/>
    </xf>
    <xf numFmtId="10" fontId="123" fillId="0" borderId="3" xfId="4496" applyNumberFormat="1" applyFont="1" applyBorder="1" applyAlignment="1">
      <alignment horizontal="center" vertical="top" wrapText="1"/>
    </xf>
    <xf numFmtId="10" fontId="123" fillId="0" borderId="4" xfId="4496" applyNumberFormat="1" applyFont="1" applyBorder="1" applyAlignment="1">
      <alignment horizontal="center" vertical="top" wrapText="1"/>
    </xf>
    <xf numFmtId="10" fontId="123" fillId="0" borderId="5" xfId="4496" applyNumberFormat="1" applyFont="1" applyBorder="1" applyAlignment="1">
      <alignment horizontal="center" vertical="top" wrapText="1"/>
    </xf>
    <xf numFmtId="168" fontId="123" fillId="0" borderId="6" xfId="4496" applyNumberFormat="1" applyFont="1" applyBorder="1" applyAlignment="1">
      <alignment horizontal="center" vertical="top"/>
    </xf>
    <xf numFmtId="0" fontId="123" fillId="0" borderId="55" xfId="4496" applyFont="1" applyBorder="1" applyAlignment="1">
      <alignment horizontal="center" vertical="top" wrapText="1"/>
    </xf>
    <xf numFmtId="0" fontId="123" fillId="0" borderId="6" xfId="4496" applyFont="1" applyBorder="1" applyAlignment="1">
      <alignment horizontal="center" vertical="top" wrapText="1"/>
    </xf>
    <xf numFmtId="0" fontId="18" fillId="0" borderId="47" xfId="4495" applyFont="1" applyBorder="1" applyAlignment="1">
      <alignment horizontal="left" vertical="center" wrapText="1"/>
    </xf>
    <xf numFmtId="0" fontId="18" fillId="0" borderId="48" xfId="4495" applyFont="1" applyBorder="1" applyAlignment="1">
      <alignment horizontal="left" vertical="center" wrapText="1"/>
    </xf>
    <xf numFmtId="0" fontId="18" fillId="0" borderId="49" xfId="4495" applyFont="1" applyBorder="1" applyAlignment="1">
      <alignment horizontal="left" vertical="center" wrapText="1"/>
    </xf>
    <xf numFmtId="0" fontId="24" fillId="3" borderId="2" xfId="4495" applyFont="1" applyFill="1" applyBorder="1" applyAlignment="1">
      <alignment horizontal="center" vertical="center"/>
    </xf>
    <xf numFmtId="0" fontId="24" fillId="3" borderId="16" xfId="4495" applyFont="1" applyFill="1" applyBorder="1" applyAlignment="1">
      <alignment horizontal="center" vertical="center"/>
    </xf>
    <xf numFmtId="0" fontId="25" fillId="0" borderId="48" xfId="4495" applyFont="1" applyBorder="1" applyAlignment="1">
      <alignment horizontal="left" vertical="top"/>
    </xf>
    <xf numFmtId="0" fontId="25" fillId="0" borderId="49" xfId="4495" applyFont="1" applyBorder="1" applyAlignment="1">
      <alignment horizontal="left" vertical="top"/>
    </xf>
    <xf numFmtId="0" fontId="18" fillId="0" borderId="50" xfId="4495" applyFont="1" applyBorder="1" applyAlignment="1">
      <alignment vertical="center" wrapText="1"/>
    </xf>
    <xf numFmtId="0" fontId="18" fillId="0" borderId="51" xfId="4495" applyFont="1" applyBorder="1" applyAlignment="1">
      <alignment vertical="center" wrapText="1"/>
    </xf>
    <xf numFmtId="0" fontId="18" fillId="0" borderId="52" xfId="4495" applyFont="1" applyBorder="1" applyAlignment="1">
      <alignment vertical="center" wrapText="1"/>
    </xf>
    <xf numFmtId="0" fontId="18" fillId="0" borderId="53" xfId="4495" applyFont="1" applyBorder="1" applyAlignment="1">
      <alignment vertical="center" wrapText="1"/>
    </xf>
    <xf numFmtId="0" fontId="18" fillId="0" borderId="0" xfId="4495" applyFont="1" applyAlignment="1">
      <alignment vertical="center" wrapText="1"/>
    </xf>
    <xf numFmtId="0" fontId="18" fillId="0" borderId="54" xfId="4495" applyFont="1" applyBorder="1" applyAlignment="1">
      <alignment vertical="center" wrapText="1"/>
    </xf>
    <xf numFmtId="0" fontId="18" fillId="0" borderId="57" xfId="4495" applyFont="1" applyBorder="1" applyAlignment="1">
      <alignment vertical="center" wrapText="1"/>
    </xf>
    <xf numFmtId="0" fontId="18" fillId="0" borderId="58" xfId="4495" applyFont="1" applyBorder="1" applyAlignment="1">
      <alignment vertical="center" wrapText="1"/>
    </xf>
    <xf numFmtId="0" fontId="18" fillId="0" borderId="59" xfId="4495" applyFont="1" applyBorder="1" applyAlignment="1">
      <alignment vertical="center" wrapText="1"/>
    </xf>
    <xf numFmtId="0" fontId="123" fillId="0" borderId="57" xfId="4496" applyFont="1" applyBorder="1" applyAlignment="1">
      <alignment horizontal="left" vertical="top" wrapText="1"/>
    </xf>
    <xf numFmtId="0" fontId="123" fillId="0" borderId="58" xfId="4496" applyFont="1" applyBorder="1" applyAlignment="1">
      <alignment horizontal="left" vertical="top" wrapText="1"/>
    </xf>
    <xf numFmtId="0" fontId="123" fillId="0" borderId="59" xfId="4496" applyFont="1" applyBorder="1" applyAlignment="1">
      <alignment horizontal="left" vertical="top" wrapText="1"/>
    </xf>
    <xf numFmtId="165" fontId="123" fillId="0" borderId="60" xfId="4496" applyNumberFormat="1" applyFont="1" applyBorder="1" applyAlignment="1">
      <alignment horizontal="center" vertical="top" wrapText="1"/>
    </xf>
    <xf numFmtId="0" fontId="123" fillId="5" borderId="60" xfId="4496" applyFont="1" applyFill="1" applyBorder="1" applyAlignment="1" applyProtection="1">
      <alignment horizontal="center"/>
      <protection locked="0"/>
    </xf>
    <xf numFmtId="0" fontId="123" fillId="5" borderId="4" xfId="4496" applyFont="1" applyFill="1" applyBorder="1" applyAlignment="1" applyProtection="1">
      <alignment horizontal="center"/>
      <protection locked="0"/>
    </xf>
    <xf numFmtId="0" fontId="123" fillId="5" borderId="55" xfId="4496" applyFont="1" applyFill="1" applyBorder="1" applyAlignment="1" applyProtection="1">
      <alignment horizontal="center"/>
      <protection locked="0"/>
    </xf>
    <xf numFmtId="168" fontId="123" fillId="0" borderId="55" xfId="4496" applyNumberFormat="1" applyFont="1" applyBorder="1" applyAlignment="1">
      <alignment horizontal="center" vertical="top"/>
    </xf>
    <xf numFmtId="0" fontId="99" fillId="0" borderId="3" xfId="4496" applyFont="1" applyBorder="1" applyAlignment="1">
      <alignment horizontal="left" indent="2"/>
    </xf>
    <xf numFmtId="0" fontId="99" fillId="0" borderId="4" xfId="4496" applyFont="1" applyBorder="1" applyAlignment="1">
      <alignment horizontal="left" indent="2"/>
    </xf>
    <xf numFmtId="0" fontId="99" fillId="0" borderId="5" xfId="4496" applyFont="1" applyBorder="1" applyAlignment="1">
      <alignment horizontal="left" indent="2"/>
    </xf>
    <xf numFmtId="9" fontId="137" fillId="45" borderId="3" xfId="4499" applyFont="1" applyFill="1" applyBorder="1" applyAlignment="1" applyProtection="1">
      <alignment horizontal="center" vertical="center"/>
    </xf>
    <xf numFmtId="9" fontId="137" fillId="45" borderId="4" xfId="4499" applyFont="1" applyFill="1" applyBorder="1" applyAlignment="1" applyProtection="1">
      <alignment horizontal="center" vertical="center"/>
    </xf>
    <xf numFmtId="9" fontId="137" fillId="45" borderId="5" xfId="4499" applyFont="1" applyFill="1" applyBorder="1" applyAlignment="1" applyProtection="1">
      <alignment horizontal="center" vertical="center"/>
    </xf>
    <xf numFmtId="0" fontId="99" fillId="0" borderId="0" xfId="4496" applyFont="1" applyAlignment="1">
      <alignment wrapText="1"/>
    </xf>
    <xf numFmtId="49" fontId="99" fillId="45" borderId="15" xfId="4496" applyNumberFormat="1" applyFont="1" applyFill="1" applyBorder="1" applyAlignment="1">
      <alignment horizontal="center" vertical="center" wrapText="1"/>
    </xf>
    <xf numFmtId="49" fontId="99" fillId="45" borderId="13" xfId="4496" applyNumberFormat="1" applyFont="1" applyFill="1" applyBorder="1" applyAlignment="1">
      <alignment horizontal="center" vertical="center" wrapText="1"/>
    </xf>
    <xf numFmtId="0" fontId="137" fillId="0" borderId="75" xfId="4496" applyFont="1" applyBorder="1" applyAlignment="1">
      <alignment horizontal="center" vertical="top" wrapText="1"/>
    </xf>
    <xf numFmtId="0" fontId="137" fillId="0" borderId="74" xfId="4496" applyFont="1" applyBorder="1" applyAlignment="1">
      <alignment horizontal="center" vertical="top" wrapText="1"/>
    </xf>
    <xf numFmtId="0" fontId="99" fillId="0" borderId="0" xfId="4496" applyFont="1" applyAlignment="1">
      <alignment horizontal="left" wrapText="1"/>
    </xf>
    <xf numFmtId="0" fontId="99" fillId="0" borderId="0" xfId="4496" applyFont="1" applyAlignment="1">
      <alignment horizontal="center" vertical="center" wrapText="1"/>
    </xf>
    <xf numFmtId="0" fontId="99" fillId="43" borderId="0" xfId="4496" applyFont="1" applyFill="1" applyAlignment="1" applyProtection="1">
      <alignment horizontal="left" vertical="top" wrapText="1"/>
      <protection locked="0"/>
    </xf>
    <xf numFmtId="0" fontId="99" fillId="43" borderId="6" xfId="4496" applyFont="1" applyFill="1" applyBorder="1" applyAlignment="1" applyProtection="1">
      <alignment horizontal="left" vertical="top" wrapText="1"/>
      <protection locked="0"/>
    </xf>
    <xf numFmtId="0" fontId="99" fillId="0" borderId="0" xfId="4496" applyFont="1" applyAlignment="1">
      <alignment horizontal="left" wrapText="1" indent="1"/>
    </xf>
    <xf numFmtId="168" fontId="99" fillId="0" borderId="11" xfId="4499" applyNumberFormat="1" applyFont="1" applyFill="1" applyBorder="1" applyAlignment="1" applyProtection="1">
      <alignment horizontal="left" vertical="center" indent="1"/>
    </xf>
    <xf numFmtId="0" fontId="137" fillId="0" borderId="68" xfId="4496" applyFont="1" applyBorder="1" applyAlignment="1">
      <alignment horizontal="left" indent="1"/>
    </xf>
    <xf numFmtId="168" fontId="99" fillId="0" borderId="70" xfId="4499" applyNumberFormat="1" applyFont="1" applyFill="1" applyBorder="1" applyAlignment="1" applyProtection="1">
      <alignment horizontal="left" vertical="center" indent="1"/>
    </xf>
    <xf numFmtId="49" fontId="136" fillId="3" borderId="0" xfId="1192" applyNumberFormat="1" applyFont="1" applyFill="1" applyAlignment="1">
      <alignment horizontal="center" vertical="center"/>
    </xf>
    <xf numFmtId="0" fontId="99" fillId="0" borderId="11" xfId="4496" applyFont="1" applyBorder="1" applyAlignment="1">
      <alignment horizontal="left" indent="1"/>
    </xf>
    <xf numFmtId="0" fontId="99" fillId="0" borderId="11" xfId="4496" applyFont="1" applyBorder="1" applyAlignment="1">
      <alignment horizontal="left" indent="2"/>
    </xf>
    <xf numFmtId="0" fontId="137" fillId="45" borderId="3" xfId="4496" applyFont="1" applyFill="1" applyBorder="1" applyAlignment="1">
      <alignment horizontal="center" vertical="center"/>
    </xf>
    <xf numFmtId="0" fontId="137" fillId="45" borderId="4" xfId="4496" applyFont="1" applyFill="1" applyBorder="1" applyAlignment="1">
      <alignment horizontal="center" vertical="center"/>
    </xf>
    <xf numFmtId="0" fontId="137" fillId="45" borderId="5" xfId="4496" applyFont="1" applyFill="1" applyBorder="1" applyAlignment="1">
      <alignment horizontal="center" vertical="center"/>
    </xf>
    <xf numFmtId="168" fontId="99" fillId="0" borderId="13" xfId="4499" applyNumberFormat="1" applyFont="1" applyFill="1" applyBorder="1" applyAlignment="1" applyProtection="1">
      <alignment horizontal="left" vertical="center" indent="1"/>
    </xf>
    <xf numFmtId="0" fontId="99" fillId="0" borderId="3" xfId="4496" applyFont="1" applyBorder="1" applyAlignment="1">
      <alignment horizontal="left" indent="1"/>
    </xf>
    <xf numFmtId="0" fontId="99" fillId="0" borderId="4" xfId="4496" applyFont="1" applyBorder="1" applyAlignment="1">
      <alignment horizontal="left" indent="1"/>
    </xf>
    <xf numFmtId="0" fontId="99" fillId="0" borderId="5" xfId="4496" applyFont="1" applyBorder="1" applyAlignment="1">
      <alignment horizontal="left" indent="1"/>
    </xf>
    <xf numFmtId="0" fontId="99" fillId="0" borderId="3" xfId="4496" applyFont="1" applyBorder="1"/>
    <xf numFmtId="0" fontId="99" fillId="0" borderId="81" xfId="4496" applyFont="1" applyBorder="1"/>
    <xf numFmtId="0" fontId="99" fillId="0" borderId="94" xfId="4496" applyFont="1" applyBorder="1"/>
    <xf numFmtId="0" fontId="99" fillId="0" borderId="85" xfId="4496" applyFont="1" applyBorder="1"/>
    <xf numFmtId="0" fontId="99" fillId="0" borderId="93" xfId="4496" applyFont="1" applyBorder="1" applyAlignment="1">
      <alignment horizontal="right"/>
    </xf>
    <xf numFmtId="0" fontId="99" fillId="0" borderId="74" xfId="4496" applyFont="1" applyBorder="1" applyAlignment="1">
      <alignment horizontal="right"/>
    </xf>
    <xf numFmtId="0" fontId="99" fillId="0" borderId="75" xfId="4496" applyFont="1" applyBorder="1"/>
    <xf numFmtId="0" fontId="99" fillId="0" borderId="91" xfId="4496" applyFont="1" applyBorder="1"/>
    <xf numFmtId="0" fontId="99" fillId="0" borderId="90" xfId="4496" applyFont="1" applyBorder="1" applyAlignment="1">
      <alignment horizontal="right"/>
    </xf>
    <xf numFmtId="0" fontId="99" fillId="0" borderId="5" xfId="4496" applyFont="1" applyBorder="1" applyAlignment="1">
      <alignment horizontal="right"/>
    </xf>
    <xf numFmtId="0" fontId="99" fillId="0" borderId="69" xfId="4496" applyFont="1" applyBorder="1" applyAlignment="1">
      <alignment horizontal="right"/>
    </xf>
    <xf numFmtId="0" fontId="99" fillId="0" borderId="70" xfId="4496" applyFont="1" applyBorder="1" applyAlignment="1">
      <alignment horizontal="right"/>
    </xf>
    <xf numFmtId="0" fontId="23" fillId="0" borderId="6" xfId="271" applyFont="1" applyBorder="1" applyAlignment="1">
      <alignment horizontal="center"/>
    </xf>
    <xf numFmtId="0" fontId="23" fillId="0" borderId="0" xfId="0" applyFont="1" applyAlignment="1" applyProtection="1">
      <alignment wrapText="1"/>
      <protection locked="0"/>
    </xf>
    <xf numFmtId="3" fontId="18" fillId="0" borderId="0" xfId="0" applyNumberFormat="1" applyFont="1" applyAlignment="1">
      <alignment horizontal="left" vertical="top" wrapText="1"/>
    </xf>
    <xf numFmtId="3" fontId="27" fillId="0" borderId="0" xfId="0" applyNumberFormat="1" applyFont="1" applyAlignment="1">
      <alignment horizontal="left" vertical="top" wrapText="1"/>
    </xf>
    <xf numFmtId="0" fontId="18" fillId="43" borderId="0" xfId="0" applyFont="1" applyFill="1" applyAlignment="1">
      <alignment horizontal="left"/>
    </xf>
  </cellXfs>
  <cellStyles count="9613">
    <cellStyle name="20% - Accent1" xfId="1" builtinId="30" customBuiltin="1"/>
    <cellStyle name="20% - Accent1 10" xfId="4504" xr:uid="{00000000-0005-0000-0000-000001000000}"/>
    <cellStyle name="20% - Accent1 11" xfId="8758" xr:uid="{2F735C8D-70CB-4E84-A95A-4445894745BC}"/>
    <cellStyle name="20% - Accent1 2" xfId="2" xr:uid="{00000000-0005-0000-0000-000002000000}"/>
    <cellStyle name="20% - Accent1 2 10" xfId="8797" xr:uid="{7F4BEAE6-CC35-4B07-89BD-8FC5D6B3D35B}"/>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2 4" xfId="9532" xr:uid="{D5FAB462-C5A9-4306-AA37-C118C84F9393}"/>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2 8" xfId="9107" xr:uid="{4168D01E-823F-4E8F-9A1D-70697AC1F241}"/>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3 4" xfId="9325" xr:uid="{DE19910B-698B-4F31-B25F-3533B35DDA95}"/>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2 9" xfId="8900" xr:uid="{7D7E3EAF-DF6A-403F-8C20-66BB9757790F}"/>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2 4" xfId="9429" xr:uid="{CCD4BD61-3143-497B-A316-8024A8762A6C}"/>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3 8" xfId="9004" xr:uid="{14A9C135-BB7B-44DD-97E1-B6B10773DEE2}"/>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4 4" xfId="9221" xr:uid="{11532E3F-E59C-4FF7-9F45-291A17A69435}"/>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2 4" xfId="9493" xr:uid="{FCEFE71D-2A04-4899-B62A-B225DBF7F0BF}"/>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2 8" xfId="9068" xr:uid="{354460C9-AD38-4FCD-882B-4DFB81DE589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3 4" xfId="9286" xr:uid="{B5220C4B-EBE7-4AD0-9A24-7F16FA378184}"/>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3 9" xfId="8861" xr:uid="{C1B75176-75E3-4E31-86A7-851E7FD67A9E}"/>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2 4" xfId="9372" xr:uid="{E6B08341-6F7D-4580-9BCF-4BFC252FAE31}"/>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4 8" xfId="8947" xr:uid="{1FCDBFE2-CC86-42DD-AD9B-D3EAF476002E}"/>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5 4" xfId="9180" xr:uid="{D0AEF57E-25E3-47C5-B910-DC1A0019F498}"/>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11" xfId="8760" xr:uid="{2F9D8AF1-C115-467C-ADFB-3BF13039D076}"/>
    <cellStyle name="20% - Accent2 2" xfId="10" xr:uid="{00000000-0005-0000-0000-0000A2000000}"/>
    <cellStyle name="20% - Accent2 2 10" xfId="8793" xr:uid="{AA7C3473-3A75-4F75-9E25-D7658C57F3A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2 4" xfId="9528" xr:uid="{C8BEA541-FD8B-4449-95AA-43E1904F35BB}"/>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2 8" xfId="9103" xr:uid="{91DB80A1-3464-4086-B948-71B6A26537C4}"/>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3 4" xfId="9321" xr:uid="{32B21C3A-E360-4F19-B469-1116F045A0F3}"/>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2 9" xfId="8896" xr:uid="{7CDAA0F1-5BE6-4749-AD4D-5424E0EA26D8}"/>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2 4" xfId="9425" xr:uid="{35BECFF4-0F5A-4F6E-AE6E-354891135B4F}"/>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3 8" xfId="9000" xr:uid="{133DFC5C-F2FF-49E9-82EE-ABAA9C815393}"/>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4 4" xfId="9217" xr:uid="{28DDC3F5-BA57-40F8-8D06-6CFF141CF9A1}"/>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2 4" xfId="9495" xr:uid="{9F5A6FE7-BBC9-4787-8EC4-2112F4D5A0EA}"/>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2 8" xfId="9070" xr:uid="{8A9168BA-490F-4E57-83EA-22187D24153F}"/>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3 4" xfId="9288" xr:uid="{FCD70616-ECAD-4A0B-889F-4698E1AD889E}"/>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3 9" xfId="8863" xr:uid="{C6A258FB-33DC-4171-B9DD-C29513CA80FD}"/>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2 4" xfId="9374" xr:uid="{26FD7A0E-8D04-4AF7-B092-2B22A78F0A97}"/>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4 8" xfId="8949" xr:uid="{084C22A9-B904-4AFE-A752-AC1DC2CA76B8}"/>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5 4" xfId="9182" xr:uid="{F822E263-B2A4-41B5-BBF9-FCE1A7A30601}"/>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11" xfId="8762" xr:uid="{49ACF776-43E7-4BB5-82F5-A8A4FEBC45F8}"/>
    <cellStyle name="20% - Accent3 2" xfId="18" xr:uid="{00000000-0005-0000-0000-000042010000}"/>
    <cellStyle name="20% - Accent3 2 10" xfId="8792" xr:uid="{65E5762F-047C-4860-B47E-71363924E2A5}"/>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2 4" xfId="9527" xr:uid="{B82F9F3C-4714-4F10-BEB2-F90FC0563F53}"/>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2 8" xfId="9102" xr:uid="{77698EAD-FDE4-4105-BE80-980B5219F464}"/>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3 4" xfId="9320" xr:uid="{BF070B19-D289-4211-B080-DBB621CAE7BA}"/>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2 9" xfId="8895" xr:uid="{0ADDC6BA-FD9D-420D-8F5A-13E0A04BBC7C}"/>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2 4" xfId="9424" xr:uid="{C3588D98-6F24-4F2C-9F96-F34501405613}"/>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3 8" xfId="8999" xr:uid="{2B5D0148-B6EA-4DEA-92B1-644886C27051}"/>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4 4" xfId="9216" xr:uid="{A12C3877-5492-4CD3-AD22-81B3F0AB1EDD}"/>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2 4" xfId="9497" xr:uid="{43A0E151-F418-49A1-AF18-121DEB02B6D4}"/>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2 8" xfId="9072" xr:uid="{422EC144-F6F8-460E-8B93-316BBF9707FB}"/>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3 4" xfId="9290" xr:uid="{8511D0A3-BAF4-4D49-BFEA-2ED828678819}"/>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3 9" xfId="8865" xr:uid="{FFA3EBA3-F40D-47A2-8AA1-A3A9E7BB9A8E}"/>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2 4" xfId="9376" xr:uid="{92AC27CA-0B0B-4AFE-8457-D3F19BE2837F}"/>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4 8" xfId="8951" xr:uid="{3CB7770B-4F12-4C44-B65D-06C641FEE851}"/>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5 4" xfId="9184" xr:uid="{F51B2D95-9593-4370-A6D2-AFEF087D792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11" xfId="8764" xr:uid="{4A9BF508-806C-496D-AEC5-5842E4A62892}"/>
    <cellStyle name="20% - Accent4 2" xfId="26" xr:uid="{00000000-0005-0000-0000-0000E2010000}"/>
    <cellStyle name="20% - Accent4 2 10" xfId="8794" xr:uid="{31A2F477-5237-45C2-B43F-25AC049A95FF}"/>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2 4" xfId="9529" xr:uid="{0C40CE19-1873-4316-818D-CC943AAFBB7B}"/>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2 8" xfId="9104" xr:uid="{526BE306-22BA-4A85-81B2-34AEB56F0D9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3 4" xfId="9322" xr:uid="{003BBE99-27AA-4036-A373-4475953A88F4}"/>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2 9" xfId="8897" xr:uid="{3A58A73C-0193-4EAC-8E12-5BF8743CE9BA}"/>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2 4" xfId="9426" xr:uid="{5B247D51-FBFD-4799-8395-E3F1C04297B8}"/>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3 8" xfId="9001" xr:uid="{B9DE6BBA-06E2-4FC8-B645-F20E60244072}"/>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4 4" xfId="9218" xr:uid="{EEA9CEE5-7B27-41EB-B571-13D0ADC44445}"/>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2 4" xfId="9499" xr:uid="{019308F4-938B-408B-A627-483AF94276A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2 8" xfId="9074" xr:uid="{BA25EAA8-2B5F-4309-91A3-FC61FCEF209C}"/>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3 4" xfId="9292" xr:uid="{E33AB5E9-A8F9-45CB-AD95-0E461E901C3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3 9" xfId="8867" xr:uid="{27FB4CEF-7F56-4AEC-B5AC-6B6A1477FBD8}"/>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2 4" xfId="9378" xr:uid="{761B3D4A-2751-4646-8A50-05A0DD408525}"/>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4 8" xfId="8953" xr:uid="{66D1590A-BB3A-4B79-BA94-169F97E7937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5 4" xfId="9186" xr:uid="{E62ED282-F767-404B-ADA1-4F8E5B4D01EB}"/>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11" xfId="8766" xr:uid="{A87C980D-48BC-4AA3-98F7-53B2F02F228C}"/>
    <cellStyle name="20% - Accent5 2" xfId="34" xr:uid="{00000000-0005-0000-0000-000082020000}"/>
    <cellStyle name="20% - Accent5 2 10" xfId="8796" xr:uid="{5BBF4372-A7B1-47A0-AC3D-4A60EDC1A5F8}"/>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2 4" xfId="9531" xr:uid="{5DC5F027-F767-49FB-B9DE-2ACABCF8AC5A}"/>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2 8" xfId="9106" xr:uid="{E7B219CB-83A9-494A-83ED-783719A0F1D9}"/>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3 4" xfId="9324" xr:uid="{6094FEE1-8E2A-466F-9CDF-43EB9EE581FF}"/>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2 9" xfId="8899" xr:uid="{0E8F9EC8-D565-41C9-B716-FF597FFF35B9}"/>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2 4" xfId="9428" xr:uid="{B7820ACF-E1F3-4653-B5DD-FD829B169E84}"/>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3 8" xfId="9003" xr:uid="{9830E7D1-E361-4BA3-A986-3DCE647EEF8E}"/>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4 4" xfId="9220" xr:uid="{A7B88928-FE72-4C1B-B74E-3CA76DBA84CC}"/>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2 4" xfId="9501" xr:uid="{82A590A5-96D4-476E-8E6F-D81EEE08C409}"/>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2 8" xfId="9076" xr:uid="{BEDF1D01-35A3-4513-9363-9C1AFC748168}"/>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3 4" xfId="9294" xr:uid="{124960EA-C7A4-4686-BF67-47D6C57F7EEB}"/>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3 9" xfId="8869" xr:uid="{43CC8A87-AEEB-4E51-98E7-F8AE8D86AD2B}"/>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2 4" xfId="9380" xr:uid="{1C764D65-D71C-4646-AD86-15F83BDBF498}"/>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4 8" xfId="8955" xr:uid="{8AD43D76-8747-44EC-8D3B-2720ADF9D1B1}"/>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5 4" xfId="9188" xr:uid="{164CF7CE-7706-426C-90AA-4867A06E28BD}"/>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11" xfId="8768" xr:uid="{5A1F1293-A19F-445F-908A-D9DBB6265CA0}"/>
    <cellStyle name="20% - Accent6 2" xfId="42" xr:uid="{00000000-0005-0000-0000-000022030000}"/>
    <cellStyle name="20% - Accent6 2 10" xfId="8795" xr:uid="{9A35B19E-8802-437A-ABDC-7B06A4E07F58}"/>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2 4" xfId="9530" xr:uid="{AFD3EE0E-70EF-4C1B-B994-7B8E7E8187BC}"/>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2 8" xfId="9105" xr:uid="{2D3B6B01-F2FB-4D08-A7F9-9902961EFB46}"/>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3 4" xfId="9323" xr:uid="{93CC3C58-EC1C-4AC6-8D02-E00EFD80A494}"/>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2 9" xfId="8898" xr:uid="{88686F75-037F-4072-9BDC-942546C51E8F}"/>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2 4" xfId="9427" xr:uid="{009378B6-C0A8-4C7C-A9A2-F91104842D93}"/>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3 8" xfId="9002" xr:uid="{F69877AB-868C-474F-8F88-C5F2F1F2C041}"/>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4 4" xfId="9219" xr:uid="{C8AD75F8-261B-45C4-93F0-0E0A49EEEF79}"/>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2 4" xfId="9503" xr:uid="{A5A3EDF8-16EA-4A86-8795-C3BA46FE244A}"/>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2 8" xfId="9078" xr:uid="{55C63253-C10A-44F0-A9A1-D3E9AD1B1E77}"/>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3 4" xfId="9296" xr:uid="{68DBDAD1-945F-459A-93CE-56D312D1EDE4}"/>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3 9" xfId="8871" xr:uid="{6A653046-C3D6-46DC-9DAA-DA1241CBE9F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2 4" xfId="9382" xr:uid="{704ED43C-A59A-4E80-A03F-B933767E3A55}"/>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4 8" xfId="8957" xr:uid="{03E1DA3A-6A3F-4C0D-9844-2D38E7BA13BC}"/>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5 4" xfId="9191" xr:uid="{C812E2E5-5572-4E86-9CB6-C7C53792C044}"/>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11" xfId="8759" xr:uid="{E0AA4078-00FF-4C00-81ED-1F048AC6C533}"/>
    <cellStyle name="40% - Accent1 2" xfId="50" xr:uid="{00000000-0005-0000-0000-0000C2030000}"/>
    <cellStyle name="40% - Accent1 2 10" xfId="8798" xr:uid="{82026451-631C-40CA-BC49-BE5DA2EA921A}"/>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2 4" xfId="9533" xr:uid="{757B5AC4-115E-4B90-B4EA-505C31F9B178}"/>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2 8" xfId="9108" xr:uid="{1189B5E8-DD3C-4F9A-ACD3-DB853C0AC60B}"/>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3 4" xfId="9326" xr:uid="{6D693950-F4D3-4A82-8C01-49E2379281D4}"/>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2 9" xfId="8901" xr:uid="{10130317-AF31-4351-8201-FD8BD447EA3C}"/>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2 4" xfId="9430" xr:uid="{C79D1FB2-141C-4301-8F37-B3B9643C055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3 8" xfId="9005" xr:uid="{83AF69B9-664F-4E19-B721-7989C2FEBC0C}"/>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4 4" xfId="9222" xr:uid="{A6B83122-AC98-4E58-AA4D-EC5ECC38FC6B}"/>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2 4" xfId="9494" xr:uid="{49092FA9-F337-44E8-98C8-15711B1C1558}"/>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2 8" xfId="9069" xr:uid="{F3D9FD63-8946-4492-B81A-42936E8B246D}"/>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3 4" xfId="9287" xr:uid="{8C21B573-3D31-49DA-ACD8-D3EC7CC3A858}"/>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3 9" xfId="8862" xr:uid="{2CC30516-31CA-485E-88BE-FCC7F9756A95}"/>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2 4" xfId="9373" xr:uid="{3BC949C7-8F86-44EA-9F10-CF277586B131}"/>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4 8" xfId="8948" xr:uid="{7BCBB449-71B8-4468-A700-0125C7659C3D}"/>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5 4" xfId="9181" xr:uid="{332DA761-F1AA-4FF3-9BBB-9ECEE19D2DFF}"/>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11" xfId="8761" xr:uid="{8631D9D1-53DA-4958-8F7C-AD68B7B91D61}"/>
    <cellStyle name="40% - Accent2 2" xfId="58" xr:uid="{00000000-0005-0000-0000-000062040000}"/>
    <cellStyle name="40% - Accent2 2 10" xfId="8799" xr:uid="{E3EEC046-6E76-44A5-8D1B-64621A8F0AC5}"/>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2 4" xfId="9534" xr:uid="{9F53A086-33FC-422E-9DFF-72D04AC43949}"/>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2 8" xfId="9109" xr:uid="{73F0012D-4386-4224-BFB0-7DB1C0E98822}"/>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3 4" xfId="9327" xr:uid="{F2BC9A12-B689-4B73-B71E-77A9F0BC7FE4}"/>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2 9" xfId="8902" xr:uid="{5D0C2022-B7A4-4DE2-895F-9E4BE510A7B9}"/>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2 4" xfId="9431" xr:uid="{BD4E3561-302E-4359-AAF3-4F2E007BC697}"/>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3 8" xfId="9006" xr:uid="{E6E89EA5-B76F-4FCC-89B9-DD4135B6364B}"/>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4 4" xfId="9223" xr:uid="{FA9890B4-781A-4E4C-81EE-BC7448559828}"/>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2 4" xfId="9496" xr:uid="{700FA1AF-D943-4FDB-BFB1-F903AD1F731A}"/>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2 8" xfId="9071" xr:uid="{B5463F05-11FC-4377-B380-DDB549C63AA9}"/>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3 4" xfId="9289" xr:uid="{B234EB9F-4AFE-41A2-A17D-ABC1D0F80875}"/>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3 9" xfId="8864" xr:uid="{311EF031-8CA9-4ACC-8705-6D408E1B50DB}"/>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2 4" xfId="9375" xr:uid="{E0F8B4F7-419E-40A5-89E1-F3F0DF6ADFF8}"/>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4 8" xfId="8950" xr:uid="{02FCA414-0598-4779-8636-7B176A3552C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5 4" xfId="9183" xr:uid="{071EDB8E-9FD1-4063-BCEF-70B734E5ECF1}"/>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11" xfId="8763" xr:uid="{CEFBFA85-5B68-4AEB-BF0D-8E604938B05F}"/>
    <cellStyle name="40% - Accent3 2" xfId="66" xr:uid="{00000000-0005-0000-0000-000002050000}"/>
    <cellStyle name="40% - Accent3 2 10" xfId="8800" xr:uid="{00FF2AAD-7D96-45B5-8981-0BB923A3505B}"/>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2 4" xfId="9535" xr:uid="{3AC66435-D4C7-42EF-A799-3DC81A57BDF4}"/>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2 8" xfId="9110" xr:uid="{E41CBEF9-86F8-44B9-895F-532A7BDC9A2A}"/>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3 4" xfId="9328" xr:uid="{1DAEB9B9-01CE-426D-A8F1-CE08999D7264}"/>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2 9" xfId="8903" xr:uid="{D9C85917-26AE-466C-8B98-905BCDA9E329}"/>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2 4" xfId="9432" xr:uid="{54D6848B-0200-4F42-820D-262A8F9A2C0F}"/>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3 8" xfId="9007" xr:uid="{2DEFD82C-2A62-4C1E-AA8D-7F2606BD9091}"/>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4 4" xfId="9224" xr:uid="{6B91012A-BFF2-4F1F-901C-A91F06F80031}"/>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2 4" xfId="9498" xr:uid="{7C43CF58-5AE0-4BAA-9D2B-CAB92F3612F1}"/>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2 8" xfId="9073" xr:uid="{0E71C752-2CF0-411D-A05E-4DA4A73CFC34}"/>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3 4" xfId="9291" xr:uid="{59AB3F6D-A8C6-4A37-A8E3-967850079A77}"/>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3 9" xfId="8866" xr:uid="{1A1EF43E-4A2B-42A8-98A3-CEC34DD3B00D}"/>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2 4" xfId="9377" xr:uid="{F4393833-4E73-4685-9332-CF918D5239A9}"/>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4 8" xfId="8952" xr:uid="{74BF8F1E-4A34-4787-9BA1-0B97E446635F}"/>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5 4" xfId="9185" xr:uid="{526F025D-EBF7-4976-9E38-4C0631A2843B}"/>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11" xfId="8765" xr:uid="{18B6B6D6-5043-43D1-BB02-3855BF7027C3}"/>
    <cellStyle name="40% - Accent4 2" xfId="74" xr:uid="{00000000-0005-0000-0000-0000A2050000}"/>
    <cellStyle name="40% - Accent4 2 10" xfId="8801" xr:uid="{223FCC58-A05E-4022-8080-E75A80678FA6}"/>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2 4" xfId="9536" xr:uid="{4351D24F-CE30-4CFD-968F-4B882F0FC9B5}"/>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2 8" xfId="9111" xr:uid="{1DD86F12-0D11-497C-88D9-78D90E1EF65F}"/>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3 4" xfId="9329" xr:uid="{62CB3536-9FC4-4DBF-9121-AD0025D891C9}"/>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2 9" xfId="8904" xr:uid="{64C959C5-2FAF-462D-88B6-14B59CDC763B}"/>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2 4" xfId="9433" xr:uid="{058786D1-7E7D-40D9-9218-B4C7219F4E53}"/>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3 8" xfId="9008" xr:uid="{270F4CAB-C86F-4D9D-804F-69497913908B}"/>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4 4" xfId="9225" xr:uid="{40EEB981-54C4-40E4-A2F9-BCD479248D23}"/>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2 4" xfId="9500" xr:uid="{EAAAC99F-A3A1-40FB-B78D-6862EF121B7A}"/>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2 8" xfId="9075" xr:uid="{6C51FF47-5618-4E1E-BC97-01FFF287A6C3}"/>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3 4" xfId="9293" xr:uid="{4A28D7F5-3617-45DC-A350-6C6596CDA765}"/>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3 9" xfId="8868" xr:uid="{538D9F50-ACCA-4DB0-A3F1-A129ACFFA0BF}"/>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2 4" xfId="9379" xr:uid="{EE31EAE0-1741-4D6E-B7B4-C5DB59044F55}"/>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4 8" xfId="8954" xr:uid="{2C178683-58B3-4513-85E7-15FAC3AC035D}"/>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5 4" xfId="9187" xr:uid="{33022C89-0CDD-4091-8005-358F63FF8F46}"/>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11" xfId="8767" xr:uid="{7A46ADF8-3420-4D4A-A3FE-8E96F0FA38E7}"/>
    <cellStyle name="40% - Accent5 2" xfId="82" xr:uid="{00000000-0005-0000-0000-000042060000}"/>
    <cellStyle name="40% - Accent5 2 10" xfId="8802" xr:uid="{CF9BFF45-99AC-47A3-8B01-051C55FBB24D}"/>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2 4" xfId="9537" xr:uid="{83834145-5D3F-4083-A609-6DB90651C4CE}"/>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2 8" xfId="9112" xr:uid="{65D0CC40-E9D0-4CE3-B684-8DE4A2C7BCD7}"/>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3 4" xfId="9330" xr:uid="{75959B30-FD84-42A5-95AE-69048CCC8361}"/>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2 9" xfId="8905" xr:uid="{3B48B2AE-2C2B-47FB-A8F4-43FECCDBCFEF}"/>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2 4" xfId="9434" xr:uid="{512EAA64-F150-4B15-8534-EB34D6D41408}"/>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3 8" xfId="9009" xr:uid="{DE8B6E41-761F-4ED0-BA8A-00A6A898A2FC}"/>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4 4" xfId="9226" xr:uid="{6A688709-D29B-458C-973B-231279FAFEF5}"/>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2 4" xfId="9502" xr:uid="{96903B0D-DCFE-4149-8088-461BCB03A73B}"/>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2 8" xfId="9077" xr:uid="{8842DD15-54E4-487D-B492-3A505722387C}"/>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3 4" xfId="9295" xr:uid="{0D42C89E-252E-426A-8E1F-7D3AD6B9FE55}"/>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3 9" xfId="8870" xr:uid="{F7DB5D96-1272-4D48-B3B6-48053CFCBA44}"/>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2 4" xfId="9381" xr:uid="{6D86932C-AFC4-4FF0-967D-0F56E90E02E1}"/>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4 8" xfId="8956" xr:uid="{20EBAEFE-DF5E-4B38-878B-CDA5BD3DABC1}"/>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5 4" xfId="9189" xr:uid="{AE9A155E-B06B-4FF1-8984-8F7810581B15}"/>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11" xfId="8769" xr:uid="{8369FE49-3815-490F-BF3A-3BEB88E35DFA}"/>
    <cellStyle name="40% - Accent6 2" xfId="90" xr:uid="{00000000-0005-0000-0000-0000E2060000}"/>
    <cellStyle name="40% - Accent6 2 10" xfId="8803" xr:uid="{3530B69D-EB1D-41EA-A6FB-440FE4FE29AB}"/>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2 4" xfId="9538" xr:uid="{D1801D0B-FDF1-4C59-8DE2-DEC53081BC5D}"/>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2 8" xfId="9113" xr:uid="{D9373B4A-E1DA-437A-874A-FCE4D00708EB}"/>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3 4" xfId="9331" xr:uid="{223B62DA-AA8A-4703-B6D5-D6AA8918B034}"/>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2 9" xfId="8906" xr:uid="{C30FCA09-BA1A-4F54-9397-4FC676425C46}"/>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2 4" xfId="9435" xr:uid="{36535681-1736-4584-8CB6-F8F38C9E0E5B}"/>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3 8" xfId="9010" xr:uid="{63E1B5F8-FE5F-441F-B768-94B1D98CB2B1}"/>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4 4" xfId="9227" xr:uid="{61BC3AC1-FAE9-47DF-8143-7EECE05FF8D3}"/>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2 4" xfId="9504" xr:uid="{23E46585-FD8F-4BA3-8B65-284D6884E4FD}"/>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2 8" xfId="9079" xr:uid="{7FA93E2E-699F-4676-8533-A3CC5F80D807}"/>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3 4" xfId="9297" xr:uid="{1226E28F-09E7-4580-8D19-7F14AC1CB4B3}"/>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3 9" xfId="8872" xr:uid="{E018AF0F-504E-4DED-BF70-CC97997D74E9}"/>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2 4" xfId="9383" xr:uid="{07C7426F-B517-4815-A0BF-2BAE02B26B53}"/>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4 8" xfId="8958" xr:uid="{058203D5-6D6D-4106-8D68-93F66B236239}"/>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5 4" xfId="9192" xr:uid="{19661A88-B46A-4EF9-A9F3-4BCF8E242108}"/>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12" xfId="8806" xr:uid="{6C773D0B-D2E3-4A8C-B041-8DA2843B9E25}"/>
    <cellStyle name="Comma 4 2 2 2 2" xfId="129" xr:uid="{00000000-0005-0000-0000-0000A4070000}"/>
    <cellStyle name="Comma 4 2 2 2 2 10" xfId="4601" xr:uid="{00000000-0005-0000-0000-0000A5070000}"/>
    <cellStyle name="Comma 4 2 2 2 2 11" xfId="8909" xr:uid="{477FCE05-1F49-4658-A03C-A8A5E7983C47}"/>
    <cellStyle name="Comma 4 2 2 2 2 2" xfId="130" xr:uid="{00000000-0005-0000-0000-0000A6070000}"/>
    <cellStyle name="Comma 4 2 2 2 2 2 10" xfId="9116" xr:uid="{7A07505D-6B4C-4086-90B5-B5D345FB7611}"/>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2 4" xfId="9541" xr:uid="{21DC771E-83A2-48BA-BE40-3E9E8454DE28}"/>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3 4" xfId="9334" xr:uid="{50E8807F-6450-4082-BD30-0A86C2E78D0E}"/>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10" xfId="9013" xr:uid="{D7491CA1-A7A0-4099-A659-9FB418CDDACA}"/>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2 4" xfId="9438" xr:uid="{8E9C4341-814A-43D1-8D35-8CCC512A2E32}"/>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4 4" xfId="9231" xr:uid="{31DAC97A-9492-467B-9850-183797A56FBE}"/>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11" xfId="8889" xr:uid="{93813409-C042-4436-8561-B0237A135E7D}"/>
    <cellStyle name="Comma 4 2 2 3 2" xfId="133" xr:uid="{00000000-0005-0000-0000-0000FE070000}"/>
    <cellStyle name="Comma 4 2 2 3 2 10" xfId="9096" xr:uid="{C395B6CC-7E3E-452B-B5AB-BBF992A45CEB}"/>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2 4" xfId="9521" xr:uid="{8F14F654-C711-4E70-8A06-71F68E70E2E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3 4" xfId="9314" xr:uid="{A74197AE-1229-40FC-8212-8FB289D74FF6}"/>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10" xfId="8993" xr:uid="{2969CB69-37C4-4C43-BC9D-87F92556F829}"/>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2 4" xfId="9418" xr:uid="{F2EB07B7-2227-485D-9411-A8F75EC2F9DA}"/>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10" xfId="9210" xr:uid="{C1F9418B-EF96-4063-883D-A983E131C6A4}"/>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2 4" xfId="9593" xr:uid="{3B41C66E-2108-4CBE-9776-211459781E55}"/>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2 6" xfId="9228" xr:uid="{49D8FCED-23A7-48B2-8D10-F90787B2F62D}"/>
    <cellStyle name="Comma 4 2 2 7" xfId="8786" xr:uid="{8FDBE9F4-5F27-4B1B-A262-D62BF874EF16}"/>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12" xfId="8805" xr:uid="{C45527F6-07B7-4887-BAF3-A6424444BA3B}"/>
    <cellStyle name="Comma 4 2 3 2" xfId="137" xr:uid="{00000000-0005-0000-0000-00005C080000}"/>
    <cellStyle name="Comma 4 2 3 2 10" xfId="4609" xr:uid="{00000000-0005-0000-0000-00005D080000}"/>
    <cellStyle name="Comma 4 2 3 2 11" xfId="8908" xr:uid="{E7021C11-E6EB-4392-A0AD-2A78F42B4BB7}"/>
    <cellStyle name="Comma 4 2 3 2 2" xfId="138" xr:uid="{00000000-0005-0000-0000-00005E080000}"/>
    <cellStyle name="Comma 4 2 3 2 2 10" xfId="9115" xr:uid="{1A31CCC4-B2C0-4E0C-B714-855521500FE8}"/>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2 4" xfId="9540" xr:uid="{F922DD27-FEAE-4DB6-894F-26CD58815668}"/>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3 4" xfId="9333" xr:uid="{5C974796-1B06-4FA8-AB2A-F6B34628ACD4}"/>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10" xfId="9012" xr:uid="{61C0F117-76A9-43CA-B381-88B2CFF6294C}"/>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2 4" xfId="9437" xr:uid="{35C6809B-E49F-4A7F-8CB1-650474E72B0A}"/>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4 4" xfId="9230" xr:uid="{24B6B749-023F-4009-8785-C6CFE1098E24}"/>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11" xfId="8858" xr:uid="{B6A00C95-D04C-44B2-B8AF-67540882256C}"/>
    <cellStyle name="Comma 4 2 4 2" xfId="141" xr:uid="{00000000-0005-0000-0000-0000B6080000}"/>
    <cellStyle name="Comma 4 2 4 2 10" xfId="9065" xr:uid="{961AA06A-D943-447E-AADB-49B440E7E7CE}"/>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2 4" xfId="9490" xr:uid="{2FAEB1E6-7B41-437B-B2A9-4352AB4F4B98}"/>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3 4" xfId="9283" xr:uid="{7E46ED3C-A8F4-4512-93D9-5F41F1AC397C}"/>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10" xfId="8974" xr:uid="{86B0C89A-8A2D-4755-B15D-84E412E1D38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2 4" xfId="9399" xr:uid="{1B388BC7-1FC6-4DC3-B345-755F61B57864}"/>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10" xfId="9177" xr:uid="{A20A3B72-7630-464F-8E57-DA2B9D6E44FB}"/>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2 4" xfId="9594" xr:uid="{CCB8D3FE-19FC-4F7F-9966-44FD23A1A32A}"/>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2 7" xfId="9190" xr:uid="{C8B7F6BD-E2DD-41C7-A6AF-A5C7B900A7ED}"/>
    <cellStyle name="Comma 4 2 8" xfId="8755" xr:uid="{40286204-C766-4116-8542-387551AD6364}"/>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12" xfId="8807" xr:uid="{5C5EF314-D0DB-425B-AE7D-D52FEEE90EC1}"/>
    <cellStyle name="Comma 4 3 2 2" xfId="146" xr:uid="{00000000-0005-0000-0000-000015090000}"/>
    <cellStyle name="Comma 4 3 2 2 10" xfId="4617" xr:uid="{00000000-0005-0000-0000-000016090000}"/>
    <cellStyle name="Comma 4 3 2 2 11" xfId="8910" xr:uid="{15019DD0-71A0-438D-B796-68DE42B22692}"/>
    <cellStyle name="Comma 4 3 2 2 2" xfId="147" xr:uid="{00000000-0005-0000-0000-000017090000}"/>
    <cellStyle name="Comma 4 3 2 2 2 10" xfId="9117" xr:uid="{1409F531-DBF2-41E0-9C74-F9317358BA15}"/>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2 4" xfId="9542" xr:uid="{26CD77CC-F017-4839-8245-BBF245D45E53}"/>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3 4" xfId="9335" xr:uid="{BACD532B-C811-4076-B107-03E74D1B7113}"/>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10" xfId="9014" xr:uid="{46568903-2C47-4BC3-8E78-5A47F62B319C}"/>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2 4" xfId="9439" xr:uid="{2FD116B5-6902-4630-AFC5-CC8B06C5F457}"/>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4 4" xfId="9232" xr:uid="{8193451B-D8F0-40BD-91ED-34E7041117F6}"/>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11" xfId="8881" xr:uid="{ACA3BC7C-CED7-49C2-9DC3-E2A3989962E9}"/>
    <cellStyle name="Comma 4 3 3 2" xfId="150" xr:uid="{00000000-0005-0000-0000-00006F090000}"/>
    <cellStyle name="Comma 4 3 3 2 10" xfId="9088" xr:uid="{D40CFC42-DEA3-4A4C-8532-2B6CFC29229D}"/>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2 4" xfId="9513" xr:uid="{986E0DAD-8ABC-4DAC-9C56-EF87B6B3B829}"/>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3 4" xfId="9306" xr:uid="{6AC2749B-EC1D-4760-AD4B-F36381A669B6}"/>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10" xfId="8985" xr:uid="{E965CEC1-A932-4F91-9E18-794CBF7DC7FC}"/>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2 4" xfId="9410" xr:uid="{54DEC146-6204-4AAF-A15F-BAC0A12B5984}"/>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10" xfId="9202" xr:uid="{BF5456DA-E11C-47BD-8210-21F45D9E5F79}"/>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2 4" xfId="9595" xr:uid="{3E6BF710-D2EA-4AFB-83F1-C6BF1C2192FF}"/>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3 6" xfId="9582" xr:uid="{F1B74700-6F25-44D3-B4B6-1EFC63A6078B}"/>
    <cellStyle name="Comma 4 3 7" xfId="8778" xr:uid="{01CB0168-3495-42C5-9A13-F25D4D0EF35E}"/>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12" xfId="8804" xr:uid="{A2BB6322-7771-45CD-845C-77E2FE03AC7A}"/>
    <cellStyle name="Comma 4 4 2" xfId="154" xr:uid="{00000000-0005-0000-0000-0000CD090000}"/>
    <cellStyle name="Comma 4 4 2 10" xfId="4625" xr:uid="{00000000-0005-0000-0000-0000CE090000}"/>
    <cellStyle name="Comma 4 4 2 11" xfId="8907" xr:uid="{F9F87618-3BA1-4211-A686-62CF5BBA5770}"/>
    <cellStyle name="Comma 4 4 2 2" xfId="155" xr:uid="{00000000-0005-0000-0000-0000CF090000}"/>
    <cellStyle name="Comma 4 4 2 2 10" xfId="9114" xr:uid="{871FAC03-A44E-4C24-806C-3CC0605FD124}"/>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2 4" xfId="9539" xr:uid="{6209A471-8158-46C6-9ADA-C828BB6621B2}"/>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3 4" xfId="9332" xr:uid="{00F59ECD-64D7-476B-90FD-CD86F054AE4D}"/>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10" xfId="9011" xr:uid="{31ED03AD-AB12-49AF-9AD4-B783F0BF7322}"/>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2 4" xfId="9436" xr:uid="{5B7DDC25-9095-4E8E-BD31-668F46BBD33F}"/>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4 4" xfId="9229" xr:uid="{5D655A80-2199-4116-9BF2-7327D5827395}"/>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11" xfId="8849" xr:uid="{344CCE08-63E3-41E8-B38A-00347480820F}"/>
    <cellStyle name="Comma 4 5 2" xfId="158" xr:uid="{00000000-0005-0000-0000-0000270A0000}"/>
    <cellStyle name="Comma 4 5 2 10" xfId="9056" xr:uid="{C7C2153B-7EAA-4A13-9C28-1151ACD100A8}"/>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2 4" xfId="9481" xr:uid="{47C88F6D-21B1-4457-908C-FFAB8FF83BD1}"/>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3 4" xfId="9274" xr:uid="{04AC3EF2-4A78-4DC5-BAB4-87936023C7E5}"/>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10" xfId="8965" xr:uid="{FDA33E7D-96B8-46F2-87D8-5CB6C30A4CC6}"/>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2 4" xfId="9390" xr:uid="{F8012948-A58F-476A-B4CF-A63C8F36D5B6}"/>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10" xfId="9168" xr:uid="{C5EF0C72-87BD-43A9-8A23-92F9D9423F5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2 4" xfId="9596" xr:uid="{F4A1C070-02C1-4F2A-89F2-15465D9BEBB2}"/>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4 8" xfId="9193" xr:uid="{D2F7B7D5-1187-4B94-96D8-1D61B28E4E34}"/>
    <cellStyle name="Comma 4 9" xfId="8746" xr:uid="{EB6F8E1D-15EE-4A1C-A7FF-36C2A43F5A26}"/>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omma 7 2" xfId="9591" xr:uid="{D0960FFC-5C70-478C-B796-4C352AAA01A0}"/>
    <cellStyle name="Comma 7 3" xfId="9589" xr:uid="{E5FB568C-33F4-49EE-BE6E-4022B43BCBB9}"/>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14 3 2 2 2 2 2" xfId="8737" xr:uid="{F549D793-15A9-4C26-9FCE-9CF879828A39}"/>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12" xfId="8808" xr:uid="{5CD24693-181E-456A-9199-DC057509AC96}"/>
    <cellStyle name="Currency 3 2 2 2" xfId="179" xr:uid="{00000000-0005-0000-0000-0000A60A0000}"/>
    <cellStyle name="Currency 3 2 2 2 10" xfId="4633" xr:uid="{00000000-0005-0000-0000-0000A70A0000}"/>
    <cellStyle name="Currency 3 2 2 2 11" xfId="8911" xr:uid="{177A45F7-B130-49DA-829A-AA3BF41B848C}"/>
    <cellStyle name="Currency 3 2 2 2 2" xfId="180" xr:uid="{00000000-0005-0000-0000-0000A80A0000}"/>
    <cellStyle name="Currency 3 2 2 2 2 10" xfId="9118" xr:uid="{4DDBDF88-B997-49F5-AF34-322CC93508E5}"/>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2 4" xfId="9543" xr:uid="{08990697-BAC1-4B06-A86B-C554A35267E6}"/>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3 4" xfId="9336" xr:uid="{F86D5454-A503-484B-B8F3-81FF219E49D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10" xfId="9015" xr:uid="{A1C3FAFC-6FB9-45C5-A279-C90E61794A63}"/>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2 4" xfId="9440" xr:uid="{774D5512-BCA5-4224-A909-3336A63369C8}"/>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4 4" xfId="9233" xr:uid="{A90843BF-65B1-48E5-9C93-A2651D7B4B13}"/>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11" xfId="8893" xr:uid="{8CE28714-D587-402C-9A17-1A08799662D4}"/>
    <cellStyle name="Currency 3 2 3 2" xfId="183" xr:uid="{00000000-0005-0000-0000-0000000B0000}"/>
    <cellStyle name="Currency 3 2 3 2 10" xfId="9100" xr:uid="{CEBE1F40-0923-46C6-AB84-DD4DAB20CD81}"/>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2 4" xfId="9525" xr:uid="{759374BA-DDD8-4F33-9655-B300986F87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3 4" xfId="9318" xr:uid="{AA73873E-8E72-4FDE-A22E-F5D80E2A87B1}"/>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10" xfId="8997" xr:uid="{DF9FC022-A382-4135-990F-F43A472E13BA}"/>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2 4" xfId="9422" xr:uid="{3049B7CE-611E-437A-AD0B-2E3AA5E2E50D}"/>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10" xfId="9214" xr:uid="{3D0A867F-0B9D-4759-A509-3EC1084E197B}"/>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2 4" xfId="9597" xr:uid="{6E2F978E-96E4-4AD8-B4BD-1BE9D7E96A2F}"/>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2 6" xfId="9583" xr:uid="{653EC571-6DFB-4D44-8156-8097E74D2DD4}"/>
    <cellStyle name="Currency 3 2 7" xfId="8790" xr:uid="{4F16186C-C154-4E9A-B12A-0E13D64C3701}"/>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12" xfId="8809" xr:uid="{6E2B58BA-BC61-49BF-A0FE-5BC79A050654}"/>
    <cellStyle name="Currency 5 2 2 2 2" xfId="197" xr:uid="{00000000-0005-0000-0000-00006D0B0000}"/>
    <cellStyle name="Currency 5 2 2 2 2 10" xfId="4641" xr:uid="{00000000-0005-0000-0000-00006E0B0000}"/>
    <cellStyle name="Currency 5 2 2 2 2 11" xfId="8912" xr:uid="{4079D27E-F98B-4445-AE20-FFD848158756}"/>
    <cellStyle name="Currency 5 2 2 2 2 2" xfId="198" xr:uid="{00000000-0005-0000-0000-00006F0B0000}"/>
    <cellStyle name="Currency 5 2 2 2 2 2 10" xfId="9119" xr:uid="{2B97CFE9-E9FD-476D-A341-C695293642F3}"/>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2 4" xfId="9544" xr:uid="{77881B28-843C-4677-B92C-D2A5804BDB97}"/>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3 4" xfId="9337" xr:uid="{A1FF44B9-A8E0-4A4E-9BE9-DA7FD7E326AE}"/>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10" xfId="9016" xr:uid="{706F9706-E49D-4995-B402-A842C879DBC8}"/>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2 4" xfId="9441" xr:uid="{B7048274-E02F-4E6A-9C9A-FAD4299F19B1}"/>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4 4" xfId="9234" xr:uid="{AAF147FE-13D8-48BD-A722-062B96166D61}"/>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11" xfId="8890" xr:uid="{F313D4EC-7666-4BAA-9452-39176957C213}"/>
    <cellStyle name="Currency 5 2 2 3 2" xfId="201" xr:uid="{00000000-0005-0000-0000-0000C70B0000}"/>
    <cellStyle name="Currency 5 2 2 3 2 10" xfId="9097" xr:uid="{74199D2F-F17A-42DD-AC8B-D958FBFFCA8B}"/>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2 4" xfId="9522" xr:uid="{58EAFCD4-DA5B-47CB-A637-29DA003AA3FD}"/>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3 4" xfId="9315" xr:uid="{A76EC348-1CDB-41C1-B9B8-9215FF30C619}"/>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10" xfId="8994" xr:uid="{484CCE7A-1288-4C7F-ABD6-C45948DC4EC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2 4" xfId="9419" xr:uid="{F03E4D2E-3BA9-4D5B-9C35-959DB128CBAE}"/>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10" xfId="9211" xr:uid="{586E1D8D-A72F-44A2-BAB5-A0BAD4827F6D}"/>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2 4" xfId="9598" xr:uid="{EBD3270B-608E-49E1-8A20-C5ADF81FBC1B}"/>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2 6" xfId="9584" xr:uid="{DC5749FB-A314-4F8C-B61F-309C27A570F5}"/>
    <cellStyle name="Currency 5 2 2 7" xfId="8787" xr:uid="{822EE7D8-70A6-49D7-843D-E84C848DC397}"/>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11" xfId="8859" xr:uid="{D3A5F8AD-5F4E-4BEA-A9B4-9A705A015524}"/>
    <cellStyle name="Currency 5 2 4 2" xfId="206" xr:uid="{00000000-0005-0000-0000-0000250C0000}"/>
    <cellStyle name="Currency 5 2 4 2 10" xfId="9066" xr:uid="{2F7A28AF-2120-4AAF-A58B-33C2E07F597D}"/>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2 4" xfId="9491" xr:uid="{64B868C7-9024-4970-9E74-7DF82417BD7A}"/>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3 4" xfId="9284" xr:uid="{1D0B72AC-AFAC-428F-8BF0-6DFF9565613D}"/>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10" xfId="8975" xr:uid="{3422EC31-C47F-46E0-A50C-FE05B1979387}"/>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2 4" xfId="9400" xr:uid="{6620DDCD-05C0-4AFD-8A83-F1190101CCB3}"/>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10" xfId="9178" xr:uid="{19F6D70E-88E4-4E39-A1A9-3FF3D840E2F9}"/>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2 4" xfId="9599" xr:uid="{C2EE182C-D73D-4E6C-9671-0484CB4E8D68}"/>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2 8" xfId="8756" xr:uid="{D16196A2-D0A3-46A2-9B14-6B017B4CC82F}"/>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12" xfId="8810" xr:uid="{C5234FF9-D509-4CD8-ADA1-D3604CCF3D1F}"/>
    <cellStyle name="Currency 5 3 2 2" xfId="211" xr:uid="{00000000-0005-0000-0000-0000850C0000}"/>
    <cellStyle name="Currency 5 3 2 2 10" xfId="4653" xr:uid="{00000000-0005-0000-0000-0000860C0000}"/>
    <cellStyle name="Currency 5 3 2 2 11" xfId="8913" xr:uid="{FE033F82-2F16-4925-9899-F927AB9AA612}"/>
    <cellStyle name="Currency 5 3 2 2 2" xfId="212" xr:uid="{00000000-0005-0000-0000-0000870C0000}"/>
    <cellStyle name="Currency 5 3 2 2 2 10" xfId="9120" xr:uid="{D5536A1F-8418-4CB5-B1E0-470AD716374A}"/>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2 4" xfId="9545" xr:uid="{F6C268D6-0334-42F7-AE4F-535ADD09B625}"/>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3 4" xfId="9338" xr:uid="{E79296CA-9516-4DDA-84B2-A3B13AAA9D9D}"/>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10" xfId="9017" xr:uid="{A6213F8D-EE09-4095-B9BE-99C55DEE210F}"/>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2 4" xfId="9442" xr:uid="{AE48BD1F-B5DA-4007-BBEE-128FE2FE74D7}"/>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4 4" xfId="9235" xr:uid="{F2FD4117-6EF1-4663-964A-AB5B57E6F469}"/>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11" xfId="8882" xr:uid="{A86B3ED4-B552-42F3-9E77-C6763F86EEE6}"/>
    <cellStyle name="Currency 5 3 3 2" xfId="215" xr:uid="{00000000-0005-0000-0000-0000DF0C0000}"/>
    <cellStyle name="Currency 5 3 3 2 10" xfId="9089" xr:uid="{7CFB8DCC-02AE-4CC5-8E10-3D33399ECECE}"/>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2 4" xfId="9514" xr:uid="{9A504F43-6423-4200-B7AF-F17B65B2005C}"/>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3 4" xfId="9307" xr:uid="{3F0512A0-B779-46E4-A963-62E327C6AC5F}"/>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10" xfId="8986" xr:uid="{4F6CFA4A-F10A-4043-AD92-C0A3F7F06459}"/>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2 4" xfId="9411" xr:uid="{2729DEB6-408B-463E-B468-91D932C31FD7}"/>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10" xfId="9203" xr:uid="{6167CBBD-227C-4457-B6B6-18EF5C089771}"/>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2 4" xfId="9600" xr:uid="{650A4058-48FE-4F3E-8845-8F52DF332026}"/>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3 6" xfId="9585" xr:uid="{F259418A-5AC0-4C4E-A98C-07B5BEE6D673}"/>
    <cellStyle name="Currency 5 3 7" xfId="8779" xr:uid="{856D4C12-E347-4E8F-9200-2EC71AC3E0CB}"/>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11" xfId="8850" xr:uid="{8F129173-F323-478F-8B06-1E2599EB26C1}"/>
    <cellStyle name="Currency 5 5 2" xfId="220" xr:uid="{00000000-0005-0000-0000-00003D0D0000}"/>
    <cellStyle name="Currency 5 5 2 10" xfId="9057" xr:uid="{90E61E49-0971-4EC1-90D8-E015846E4FB2}"/>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2 4" xfId="9482" xr:uid="{ECEE3E7C-42CD-4A2D-A90F-D54FFBA7E41F}"/>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3 4" xfId="9275" xr:uid="{54783F20-34E5-4A58-80AE-EC7CC69A89C9}"/>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10" xfId="8966" xr:uid="{EC95BD1E-EAA8-4043-BDA7-06F3BBDBC3D5}"/>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2 4" xfId="9391" xr:uid="{8CBF3F74-51EC-4402-B96A-0759E6537FC7}"/>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10" xfId="9169" xr:uid="{7A886DE7-136A-429E-90E2-A7C712D111D8}"/>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2 4" xfId="9601" xr:uid="{DC93A830-0AF1-4EC4-B764-C728922F3FEF}"/>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5 9" xfId="8747" xr:uid="{CCFF1C6E-BA46-44B7-A8DD-B170160D04FF}"/>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2 3 2" xfId="9602" xr:uid="{A65D8BE7-4D6B-444F-B83A-51DC8E328493}"/>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12" xfId="8770" xr:uid="{16E7F001-A88D-4413-825E-78352A31064A}"/>
    <cellStyle name="Normal 12 2" xfId="260" xr:uid="{00000000-0005-0000-0000-0000CD0D0000}"/>
    <cellStyle name="Normal 12 2 10" xfId="8811" xr:uid="{C610EFA7-DF28-475D-A7AA-61B6675A083B}"/>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2 4" xfId="9546" xr:uid="{609DE280-4DA3-4355-9F1C-9E01708347EA}"/>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2 8" xfId="9121" xr:uid="{527C15BB-BE4D-46AB-9317-CC8E6838C91D}"/>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3 4" xfId="9339" xr:uid="{F3F800C1-92DF-4F1F-A561-C3F3C7F8BAD1}"/>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2 9" xfId="8914" xr:uid="{85903DBC-FA0A-4A9D-9FB4-BA36A4B6F51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2 4" xfId="9443" xr:uid="{61F0A971-1285-4215-8170-49D07520551A}"/>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3 8" xfId="9018" xr:uid="{C3F41DC6-3A80-4145-A68D-169ABB54B6D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4 4" xfId="9236" xr:uid="{C3D0196D-4BB3-4870-9762-A3CF40E5B45B}"/>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2 4" xfId="9505" xr:uid="{B127619B-367D-40AD-851E-01DDBB2DCD13}"/>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2 8" xfId="9080" xr:uid="{403F3083-4A9F-4295-B676-C31241B8936E}"/>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3 4" xfId="9298" xr:uid="{A6F9D711-F86A-406D-B160-91678C261745}"/>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3 9" xfId="8873" xr:uid="{72AE7E6C-F254-4BFC-80A7-F73848FA4F21}"/>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2 4" xfId="9402" xr:uid="{F40C9AB7-F4D0-4A65-BBAA-FF5409160FE5}"/>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4 8" xfId="8977" xr:uid="{5BFFE5F3-99F6-4DA1-A3EF-BF749B3B7ACB}"/>
    <cellStyle name="Normal 12 5" xfId="267" xr:uid="{00000000-0005-0000-0000-0000590E0000}"/>
    <cellStyle name="Normal 12 5 2" xfId="9579" xr:uid="{43940F87-8803-4E34-B3E0-736FAF89CA32}"/>
    <cellStyle name="Normal 12 5 3" xfId="9586" xr:uid="{72B01073-C2DA-4DF8-9E0D-6932F6AF67FF}"/>
    <cellStyle name="Normal 12 5 4" xfId="9156" xr:uid="{4BCB05AE-5738-4A10-9D4D-B3A4CD16FD2C}"/>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6 4" xfId="9194" xr:uid="{92D32932-3865-4F6F-A551-9A99EC116A43}"/>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2 4" xfId="9371" xr:uid="{E1AFB5B4-F468-480A-B09F-3374B2F03BDA}"/>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4 8" xfId="8946" xr:uid="{DD997A1C-6669-41AA-8AC1-78121AFC796C}"/>
    <cellStyle name="Normal 15" xfId="4496" xr:uid="{00000000-0005-0000-0000-0000800E0000}"/>
    <cellStyle name="Normal 15 2" xfId="9578" xr:uid="{99513E76-E7E2-49D8-ADC5-F882C61FFC79}"/>
    <cellStyle name="Normal 15 3" xfId="9155" xr:uid="{47700DD8-A88A-4CB4-BFAD-BA75A2D4FC8E}"/>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6 3 2 2 2 2 2" xfId="8736" xr:uid="{7AC8956C-BA20-44DB-B114-104F44E2FADF}"/>
    <cellStyle name="Normal 16 4" xfId="9612" xr:uid="{8729F6E8-3534-4DAE-B0B2-B2AF3CDCD313}"/>
    <cellStyle name="Normal 17" xfId="8728" xr:uid="{3FF0972C-833B-4475-99D8-1A6907499E71}"/>
    <cellStyle name="Normal 17 2" xfId="9157" xr:uid="{6C872296-5E17-4821-9139-E52AD113B06C}"/>
    <cellStyle name="Normal 17 3" xfId="9154" xr:uid="{DC3FF210-EC1F-47CE-8CCE-F8F5460671B1}"/>
    <cellStyle name="Normal 18" xfId="9153" xr:uid="{EF04732C-9519-4C21-BD73-A108E18EA17F}"/>
    <cellStyle name="Normal 19" xfId="8739" xr:uid="{D907EBA7-1F94-4726-9ABB-7E7835FFF57E}"/>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2 4 2" xfId="9604" xr:uid="{0A38E1FB-C5F8-4499-8200-3BD3E5732FDF}"/>
    <cellStyle name="Normal 2 2 3" xfId="770" xr:uid="{00000000-0005-0000-0000-0000890E0000}"/>
    <cellStyle name="Normal 2 2 3 2" xfId="9603" xr:uid="{E950DCA8-1D3C-4ADA-BC85-73D226C7456A}"/>
    <cellStyle name="Normal 2 2 3 3" xfId="9159" xr:uid="{55892D3F-483B-4C03-BB10-71EC3D4C0162}"/>
    <cellStyle name="Normal 2 3" xfId="276" xr:uid="{00000000-0005-0000-0000-00008A0E0000}"/>
    <cellStyle name="Normal 2 3 2" xfId="277" xr:uid="{00000000-0005-0000-0000-00008B0E0000}"/>
    <cellStyle name="Normal 2 4" xfId="278" xr:uid="{00000000-0005-0000-0000-00008C0E0000}"/>
    <cellStyle name="Normal 2 4 10" xfId="8748" xr:uid="{16BDE8CC-6BC7-472E-B728-8A5CCBF7F382}"/>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13" xfId="8757" xr:uid="{563A76DD-F7DD-49F0-A61E-0419F4C31301}"/>
    <cellStyle name="Normal 2 4 2 2" xfId="280" xr:uid="{00000000-0005-0000-0000-0000950E0000}"/>
    <cellStyle name="Normal 2 4 2 3" xfId="281" xr:uid="{00000000-0005-0000-0000-0000960E0000}"/>
    <cellStyle name="Normal 2 4 2 3 10" xfId="4674" xr:uid="{00000000-0005-0000-0000-0000970E0000}"/>
    <cellStyle name="Normal 2 4 2 3 11" xfId="8788" xr:uid="{EAD3D227-C8EF-4F54-8D24-EE1EA1F017BB}"/>
    <cellStyle name="Normal 2 4 2 3 2" xfId="282" xr:uid="{00000000-0005-0000-0000-0000980E0000}"/>
    <cellStyle name="Normal 2 4 2 3 2 10" xfId="8813" xr:uid="{C03AE35D-2438-4E07-AE9C-6D04EC6DA2B7}"/>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2 4" xfId="9548" xr:uid="{29E7289E-B3F4-4F63-9B9C-B531B0E50CEB}"/>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2 8" xfId="9123" xr:uid="{9F0183A9-880D-46D9-BB7D-5696E4723F5F}"/>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3 4" xfId="9341" xr:uid="{4F113FF5-050D-47D1-A7D5-F829C93D993D}"/>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2 9" xfId="8916" xr:uid="{1EF18CC7-44BB-43EB-8DB6-D193CEF128C1}"/>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2 4" xfId="9445" xr:uid="{67F9E33C-8554-469D-8D7A-1147F632F3B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3 8" xfId="9020" xr:uid="{5718F785-8E2C-4B45-91D1-4597173D90A6}"/>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4 4" xfId="9238" xr:uid="{BC6E5A3D-C256-46E9-A109-D643C24AA206}"/>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2 4" xfId="9523" xr:uid="{49BCB42B-3FEB-4D87-8E20-52FE775F87DD}"/>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2 8" xfId="9098" xr:uid="{15335B31-FFDD-479D-88EC-FAB83DC4E6EC}"/>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3 4" xfId="9316" xr:uid="{C8C83D09-5A3A-4C90-8A04-9D7CD8C85B11}"/>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3 9" xfId="8891" xr:uid="{D2DF60A1-A34B-4A3F-B29E-E581EFBA836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2 4" xfId="9420" xr:uid="{49E252B3-99BC-416A-A0CB-FE2641ECFDE3}"/>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4 8" xfId="8995" xr:uid="{EEE25A27-4C18-4948-8341-FF27707A7A86}"/>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5 4" xfId="9212" xr:uid="{39F1BF9F-C79C-4226-B2D8-665EAA6F3686}"/>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10" xfId="8812" xr:uid="{C2E08BA7-2068-4F74-AFE2-E0AED0B82FE2}"/>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2 4" xfId="9547" xr:uid="{F8909421-8B16-4168-8B85-A5523C430C3C}"/>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2 8" xfId="9122" xr:uid="{861CB008-611F-4F3F-9D09-5BCA5A4CB255}"/>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3 4" xfId="9340" xr:uid="{2D1F2F91-F6E8-42AC-98D0-B8667E0ECE37}"/>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2 9" xfId="8915" xr:uid="{2BEB15AA-2AFA-47D4-AC0E-63DAF2CFE119}"/>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2 4" xfId="9444" xr:uid="{807939DF-E7C0-4015-A3D8-AE9E56020172}"/>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3 8" xfId="9019" xr:uid="{1F22810F-FF7D-4FF4-861A-F2BA8F253428}"/>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4 4" xfId="9237" xr:uid="{FF4B133D-A40B-4895-9E3D-E727B18E66C8}"/>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2 4" xfId="9492" xr:uid="{07DC9204-2F52-408E-80EE-617A106DD9FD}"/>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2 8" xfId="9067" xr:uid="{89D5CB5A-ADE0-44B8-BC1E-FDE984B579C9}"/>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3 4" xfId="9285" xr:uid="{5DA39FB9-904E-46D3-8E24-58BF2F19DA5B}"/>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5 9" xfId="8860" xr:uid="{5FAFEFC0-3249-464B-9F12-2B1DA137C588}"/>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2 4" xfId="9401" xr:uid="{C89DD342-23DD-474B-84C5-F9DED42F169B}"/>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6 8" xfId="8976" xr:uid="{6DEAFF8C-68CB-4364-A161-479509F453AE}"/>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7 4" xfId="9179" xr:uid="{D1C44CED-398E-43B3-AFA3-1E7DC60C5D92}"/>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10" xfId="8814" xr:uid="{F78EFD99-FCC5-4915-ACA3-DFC3FC0D45A5}"/>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2 4" xfId="9549" xr:uid="{EA88B7BC-E37D-4688-A768-0D7FE5EF9F42}"/>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2 8" xfId="9124" xr:uid="{1FF2B195-09C8-4D7B-A363-E8AF809A669B}"/>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3 4" xfId="9342" xr:uid="{41454CF9-47C1-4E8A-868A-8F39341308EB}"/>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2 9" xfId="8917" xr:uid="{1E22693C-F4B1-4678-80B0-65CF6DC31586}"/>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2 4" xfId="9446" xr:uid="{7ACDBBC8-943F-41CF-9832-96F56BCB3985}"/>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3 8" xfId="9021" xr:uid="{4EC0F035-DC07-4262-9C58-7142AC357944}"/>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4 4" xfId="9239" xr:uid="{3DCBA9AF-C63D-4CA9-81B6-AC7CB7B67292}"/>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4 4" xfId="9605" xr:uid="{31B075F0-6828-4EC6-AC77-4B4B0626A722}"/>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11" xfId="8780" xr:uid="{7650B30D-5C17-47F0-B17B-A5E27258C29E}"/>
    <cellStyle name="Normal 2 4 5 2" xfId="304" xr:uid="{00000000-0005-0000-0000-000036100000}"/>
    <cellStyle name="Normal 2 4 5 2 10" xfId="8815" xr:uid="{40A5EFE5-2EC9-4F25-B9EC-CAF9321E00F7}"/>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2 4" xfId="9550" xr:uid="{8A7671EC-AB7E-4F51-9B1B-FE1F0FDC42A9}"/>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2 8" xfId="9125" xr:uid="{AE6B93A1-5C0B-49F1-AF15-6FC3FAFFE3B2}"/>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3 4" xfId="9343" xr:uid="{FC4CD386-4202-45E2-8021-2A85CACF4E8B}"/>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2 9" xfId="8918" xr:uid="{C191AFB9-5B9B-45BF-8589-0BB68E370D0F}"/>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2 4" xfId="9447" xr:uid="{5DAE67B2-15F6-4C7F-9310-B9C816D42F72}"/>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3 8" xfId="9022" xr:uid="{B979F5DF-A88B-437D-B1B4-B92D08856DC7}"/>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4 4" xfId="9240" xr:uid="{16FBE981-4867-4157-8C0D-9C1339DB5B3F}"/>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2 4" xfId="9515" xr:uid="{A1D6949C-773D-44DB-B26F-4DD01D24FF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2 8" xfId="9090" xr:uid="{4B64C5F8-5AC3-43D3-B94A-46850BBF79A5}"/>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3 4" xfId="9308" xr:uid="{40198FFA-4C90-42BE-90C8-42459F1A2A1C}"/>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3 9" xfId="8883" xr:uid="{0A470B75-873E-4D74-A257-113E3E343E18}"/>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2 4" xfId="9412" xr:uid="{0ECAC303-3EA0-4623-AA0F-854157CA32E5}"/>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4 8" xfId="8987" xr:uid="{8DC2C01A-3078-41AD-BCFB-AA1CA8EE9C0A}"/>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5 4" xfId="9204" xr:uid="{BE34B337-03EE-47D8-9E35-2EE6FAB30236}"/>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2 4" xfId="9483" xr:uid="{3D7EFF6F-050D-4214-91CB-DF2673F23584}"/>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2 8" xfId="9058" xr:uid="{FCEC438E-EF6A-4A00-BFE3-0DA309169A82}"/>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3 4" xfId="9276" xr:uid="{90A81E61-1719-41E4-8673-7681E805C2E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7 9" xfId="8851" xr:uid="{6946A6C1-9296-4D8F-B36F-8F7964FD7AC6}"/>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2 4" xfId="9392" xr:uid="{812B973E-E5C9-43CD-85B0-C8CA30BD9BF3}"/>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4 8 8" xfId="8967" xr:uid="{32AC97CD-D3FD-4AE1-A8B2-07BEA9D5DE52}"/>
    <cellStyle name="Normal 2 4 9" xfId="9170" xr:uid="{5569C060-E090-4551-A44D-517EC3FD1834}"/>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10" xfId="8816" xr:uid="{995CF82E-693D-465A-A045-877E2FF72202}"/>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2 4" xfId="9551" xr:uid="{392D7741-6781-4EA5-9C28-040053C1B05B}"/>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2 8" xfId="9126" xr:uid="{C2CF4AFD-4082-4555-941B-6E9759C32D63}"/>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3 4" xfId="9344" xr:uid="{207B8A34-09D9-4349-A9C7-5A5A998C6B6F}"/>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2 9" xfId="8919" xr:uid="{2A8C96F6-0F22-4271-BCA3-7E5B2E35A54F}"/>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2 4" xfId="9448" xr:uid="{0C1738F2-697E-4430-8A3F-E67747B3EDB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3 8" xfId="9023" xr:uid="{9B869639-3DD4-4511-AD70-D5125D34938F}"/>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4 4" xfId="9241" xr:uid="{2BD2F05F-E4C9-46B4-B3C9-F0D081C1F38F}"/>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5 4" xfId="9606" xr:uid="{3AE4D77A-44EE-40C2-9F71-05FBDE2746B2}"/>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7 2" xfId="9580" xr:uid="{0C5E64EA-4850-4B24-85FB-98E7D7C899F3}"/>
    <cellStyle name="Normal 2 7 3" xfId="9158" xr:uid="{EAB1DBEB-91F2-4EA8-BA5F-9940DB18B1DD}"/>
    <cellStyle name="Normal 2 8" xfId="4495" xr:uid="{00000000-0005-0000-0000-000079110000}"/>
    <cellStyle name="Normal 2 8 2" xfId="9590" xr:uid="{F76237BE-CC0F-464B-B649-E52747334C44}"/>
    <cellStyle name="Normal 25" xfId="9160" xr:uid="{03A02929-FC38-413E-AF22-20FBB597EAF7}"/>
    <cellStyle name="Normal 25 3" xfId="9161" xr:uid="{479C47B3-452A-4309-A3D6-7AE7151E8625}"/>
    <cellStyle name="Normal 25 3 2" xfId="9581" xr:uid="{15B7B5A1-D20C-4EBB-AA23-78BBA515A246}"/>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10" xfId="8817" xr:uid="{3E104A31-37D3-4F18-9577-94EC7377D6BF}"/>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2 4" xfId="9552" xr:uid="{54198C1B-8B77-4C07-BFED-28C4D4E00A0C}"/>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2 8" xfId="9127" xr:uid="{0583B12A-AAD6-4358-9C0C-42D6EBC3DFD8}"/>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3 4" xfId="9345" xr:uid="{C34A3811-3C7F-4E99-A17A-CCF74A426C86}"/>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2 9" xfId="8920" xr:uid="{D9E0825A-068A-435C-BDBE-2C0571A11FAF}"/>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2 4" xfId="9449" xr:uid="{7F58A2DC-DF16-44D1-8D09-04DD41EF4468}"/>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3 8" xfId="9024" xr:uid="{AE2F680F-18A3-47B5-ADCF-6BEAD71D50CE}"/>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4 4" xfId="9242" xr:uid="{05AEEDFF-7EEB-40DB-B13D-145C971A771B}"/>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4 4" xfId="9607" xr:uid="{7D769806-7069-4B8D-8CAC-B3B91BBA8D64}"/>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10" xfId="8740" xr:uid="{0924EAD9-BC97-44F9-9003-D159FDE0DC01}"/>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13" xfId="8752" xr:uid="{7B61EFAC-4165-4615-9A47-7AF5DAE027C9}"/>
    <cellStyle name="Normal 4 2 2 2" xfId="338" xr:uid="{00000000-0005-0000-0000-0000F1110000}"/>
    <cellStyle name="Normal 4 2 2 3" xfId="339" xr:uid="{00000000-0005-0000-0000-0000F2110000}"/>
    <cellStyle name="Normal 4 2 2 3 10" xfId="4717" xr:uid="{00000000-0005-0000-0000-0000F3110000}"/>
    <cellStyle name="Normal 4 2 2 3 11" xfId="8784" xr:uid="{8AA3A883-811C-4C4A-AFFF-9AAED56BF228}"/>
    <cellStyle name="Normal 4 2 2 3 2" xfId="340" xr:uid="{00000000-0005-0000-0000-0000F4110000}"/>
    <cellStyle name="Normal 4 2 2 3 2 10" xfId="8819" xr:uid="{16629302-3759-4242-B07E-BB5D034B10E8}"/>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2 4" xfId="9554" xr:uid="{BAC669EC-8948-4716-90C3-0688F03300CE}"/>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2 8" xfId="9129" xr:uid="{970F8072-C8D6-4D17-95D6-EBF431EAD262}"/>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3 4" xfId="9347" xr:uid="{8C9012CB-19BB-4242-9F43-373358B13B52}"/>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2 9" xfId="8922" xr:uid="{32C9E21B-8C85-4874-B28C-82BF39BA84E2}"/>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2 4" xfId="9451" xr:uid="{85AA9164-95F1-48F2-907A-54AD445D074F}"/>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3 8" xfId="9026" xr:uid="{319D63D3-F71C-4F99-9FD1-E3D0665567E8}"/>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4 4" xfId="9244" xr:uid="{98623F27-324A-40DE-AA2B-56E1FCE087EE}"/>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2 4" xfId="9519" xr:uid="{FB4BBD6E-D73B-4ABD-8656-6C15D7932E02}"/>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2 8" xfId="9094" xr:uid="{1333D468-E252-4686-88C1-38A56B910A8E}"/>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3 4" xfId="9312" xr:uid="{0065946C-778C-4913-8F8B-68BBB1A30769}"/>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3 9" xfId="8887" xr:uid="{FD79599D-FD4F-44F4-A7A6-B948A2C15DD2}"/>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2 4" xfId="9416" xr:uid="{B0F1A5CD-0EDE-48A7-9669-6902681F696C}"/>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4 8" xfId="8991" xr:uid="{84464EC3-90C2-4B18-8399-135C935528F7}"/>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5 4" xfId="9208" xr:uid="{7BF9CD11-B90D-42F2-928D-A8BE344C6F46}"/>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10" xfId="8818" xr:uid="{A73977A7-52C6-4368-9F59-166E1B99BBDE}"/>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2 4" xfId="9553" xr:uid="{7FCAF883-2374-4470-BA95-AD8EB054639C}"/>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2 8" xfId="9128" xr:uid="{3D9AD2A4-E3D1-4BAF-8F43-BFB1FE8E222D}"/>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3 4" xfId="9346" xr:uid="{11110DEC-01F5-467C-B0F9-3286FF7E57CB}"/>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2 9" xfId="8921" xr:uid="{43AA3CA1-A6D2-47CC-8276-CBFAB7238AA6}"/>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2 4" xfId="9450" xr:uid="{0F54578A-5DA3-4B6E-9E36-71CC7CD6BFE8}"/>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3 8" xfId="9025" xr:uid="{436CB353-A916-4AB2-B5E2-8C1BDAEA1182}"/>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4 4" xfId="9243" xr:uid="{FD46A281-F5BE-478B-950E-209D1D56FC0E}"/>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2 4" xfId="9487" xr:uid="{83D2756E-B983-4EA9-AB48-FF4D3E821CE4}"/>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2 8" xfId="9062" xr:uid="{FED54422-C2E5-44B3-AA7C-C6088F47A385}"/>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3 4" xfId="9280" xr:uid="{C70B18D8-E279-4D37-82EF-3177E9FA554F}"/>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5 9" xfId="8855" xr:uid="{894DEE8B-A5CD-4C4E-B41D-DCEB92717109}"/>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2 4" xfId="9396" xr:uid="{5B10E6C6-987A-4149-BB81-321A07C7666F}"/>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6 8" xfId="8971" xr:uid="{7BBA3CD4-2D32-439A-A2D5-9F7EB5E5A47E}"/>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7 4" xfId="9174" xr:uid="{5FB177AF-8B2E-4B7E-A1B7-4F6E323AF88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11" xfId="8775" xr:uid="{7AC259AB-9C32-4DC1-A787-2E2187A7C2D6}"/>
    <cellStyle name="Normal 4 2 4 2" xfId="356" xr:uid="{00000000-0005-0000-0000-00002D130000}"/>
    <cellStyle name="Normal 4 2 4 2 10" xfId="8820" xr:uid="{8B50D4F4-4786-467C-8322-69D665B73C2B}"/>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2 4" xfId="9555" xr:uid="{31AE7BD4-4F26-4658-9939-15FCE733560E}"/>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2 8" xfId="9130" xr:uid="{E4AAEB37-D6CE-4BD9-A166-BE52F754DAC4}"/>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3 4" xfId="9348" xr:uid="{E9E52CF6-B3CF-482F-B496-A22B0452951D}"/>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2 9" xfId="8923" xr:uid="{2BBE6936-33B8-4624-9F85-2EE83C62ACB2}"/>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2 4" xfId="9452" xr:uid="{58F46659-8F00-4705-8554-54AEBE9B8A77}"/>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3 8" xfId="9027" xr:uid="{DA430019-E492-48BB-ACD5-5BE853C50FBC}"/>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4 4" xfId="9245" xr:uid="{A0383DD8-843E-4601-922A-5CDD979D0589}"/>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2 4" xfId="9510" xr:uid="{AA534F18-B7F5-44D9-AE7D-03E6DE45E4F9}"/>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2 8" xfId="9085" xr:uid="{0181E53C-86DC-4588-8447-D559FCF01541}"/>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3 4" xfId="9303" xr:uid="{51CE977A-E9B9-47DD-B6CE-3ECF34A578F1}"/>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3 9" xfId="8878" xr:uid="{B73EE68A-BBFC-4E7A-B773-E14FCCFC8837}"/>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2 4" xfId="9407" xr:uid="{5D8D6A7A-388E-41EC-80E9-28307FA015D6}"/>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4 8" xfId="8982" xr:uid="{4C273C9B-E12E-4EF2-812F-666600229207}"/>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5 4" xfId="9199" xr:uid="{1A9A2DC3-2FEA-4A30-A92C-84708E9B2741}"/>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2 4" xfId="9478" xr:uid="{9FEAEEC2-067D-4244-BB0F-0858128140EB}"/>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2 8" xfId="9053" xr:uid="{0AE18A98-D9E6-47B9-86B0-DDAD3BC77B48}"/>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3 4" xfId="9271" xr:uid="{41AE7BB1-E3C7-48BD-B24F-55AE39E68BB6}"/>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5 9" xfId="8846" xr:uid="{C69C7E2D-02E8-4C87-9C63-A39D0E37A062}"/>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2 4" xfId="9387" xr:uid="{933EA8C7-37F7-4AF2-922A-47A5CB1A47BC}"/>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2 6 8" xfId="8962" xr:uid="{1A1596D6-3914-4465-A638-E540359059D2}"/>
    <cellStyle name="Normal 4 2 7" xfId="9165" xr:uid="{6363F967-7399-442D-B2CE-00085FF7F1E8}"/>
    <cellStyle name="Normal 4 2 8" xfId="8743" xr:uid="{E2B8331F-47F9-4829-99C7-E05840A106B9}"/>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10" xfId="8822" xr:uid="{037E7ADE-E956-440D-A052-F76DB76DA698}"/>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2 4" xfId="9557" xr:uid="{4F6BDD99-7BF1-4D2F-9EDC-4F75F1942DB4}"/>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2 8" xfId="9132" xr:uid="{14F6ED12-EABF-4C82-AD59-55D351026913}"/>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3 4" xfId="9350" xr:uid="{DFFEAFB7-A284-4FD9-B115-C19DA011CCC7}"/>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2 9" xfId="8925" xr:uid="{71BB8AFA-37D7-474D-A12B-C284DDE23CE9}"/>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2 4" xfId="9454" xr:uid="{B81F5EAA-7D8E-43B5-94D7-313E66088BA5}"/>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3 8" xfId="9029" xr:uid="{CC421D7E-69EF-4D96-A95C-E67F046F8D14}"/>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4 4" xfId="9247" xr:uid="{70D9D224-DB0B-42B4-B4A9-BC88F455C395}"/>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10" xfId="8821" xr:uid="{CCBF5754-59AA-4E4D-98C0-E3B615D83002}"/>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2 4" xfId="9556" xr:uid="{7233D5E9-9F1E-43FF-8391-DCCFDF8A705D}"/>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2 8" xfId="9131" xr:uid="{D7BA3B10-6765-4B57-99D1-3AF7343772F8}"/>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3 4" xfId="9349" xr:uid="{E498700C-D7AE-42FC-8EB1-59BA2C1BA6B9}"/>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2 9" xfId="8924" xr:uid="{F9E914C5-63E8-4CB8-8EA1-7427CE35C4AA}"/>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2 4" xfId="9453" xr:uid="{18D68920-503C-42C1-A733-EBE17DC6D008}"/>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3 8" xfId="9028" xr:uid="{A0BD85BE-0D8B-455E-B326-708B8FF8A8C8}"/>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4 4" xfId="9246" xr:uid="{E1107DA9-8F13-4216-80A2-CEA1D2EF57FC}"/>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4 4" xfId="9608" xr:uid="{C2EFFD2B-01D5-4B2B-BD85-BB4245D6A35E}"/>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12" xfId="8749" xr:uid="{A91736B6-873D-4B1A-8B29-18DC69E5E65F}"/>
    <cellStyle name="Normal 4 4 2" xfId="379" xr:uid="{00000000-0005-0000-0000-0000C4140000}"/>
    <cellStyle name="Normal 4 4 2 10" xfId="4753" xr:uid="{00000000-0005-0000-0000-0000C5140000}"/>
    <cellStyle name="Normal 4 4 2 11" xfId="8781" xr:uid="{12B8F0AD-1EB8-4D0A-9CAD-21DEEFEDAE41}"/>
    <cellStyle name="Normal 4 4 2 2" xfId="380" xr:uid="{00000000-0005-0000-0000-0000C6140000}"/>
    <cellStyle name="Normal 4 4 2 2 10" xfId="8824" xr:uid="{FF218EA8-00A9-476B-AA88-FBBBBED2D06B}"/>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2 4" xfId="9559" xr:uid="{6E5E886C-D83F-47E6-AD2B-552CC2A98FD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2 8" xfId="9134" xr:uid="{B37D4C66-6754-4A5E-BFF7-77694E4355C2}"/>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3 4" xfId="9352" xr:uid="{76F31DA2-44D0-447F-BA9C-6271BA6AAE96}"/>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2 9" xfId="8927" xr:uid="{195B9197-F273-4D3B-B7A6-9CBAA360D528}"/>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2 4" xfId="9456" xr:uid="{7CB0B972-68D8-4A2C-A3A7-1D2BD109E44A}"/>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3 8" xfId="9031" xr:uid="{F1B59444-328A-4279-8A0A-A9F7E26061D5}"/>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4 4" xfId="9249" xr:uid="{7E4CA7C7-738D-4CFA-907A-40590344548A}"/>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2 4" xfId="9516" xr:uid="{93008D3B-5827-4778-B167-5B518B5BF56F}"/>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2 8" xfId="9091" xr:uid="{9DBAED0A-05EE-4674-B1B7-8D03DBB53301}"/>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3 4" xfId="9309" xr:uid="{73E912F6-92AF-449E-AE53-1DEDEF686C0F}"/>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3 9" xfId="8884" xr:uid="{CBA8CCC0-D2E2-46C8-AC83-39734599F615}"/>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2 4" xfId="9413" xr:uid="{4DC092EA-7C69-4E02-9FE8-33F62D070F54}"/>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4 8" xfId="8988" xr:uid="{F852E7B0-7ACD-4401-B3B6-BE989A5C8AD5}"/>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5 4" xfId="9205" xr:uid="{A63DE01D-3EC8-40FC-A47E-E0EA001EED52}"/>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10" xfId="8823" xr:uid="{E623F102-F69B-4FD0-BEDA-A1480AF4D892}"/>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2 4" xfId="9558" xr:uid="{8C9519E6-5920-473D-9749-EC61E4877632}"/>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2 8" xfId="9133" xr:uid="{37002A66-D58A-4EF9-8D22-8F1A3EE99E08}"/>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3 4" xfId="9351" xr:uid="{51AD2B95-755A-411D-AA40-98381F5D8294}"/>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2 9" xfId="8926" xr:uid="{821D1F47-EF8D-4C64-BA70-5606A81A57B5}"/>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2 4" xfId="9455" xr:uid="{E39EB3A2-D99A-426C-AFEC-E4C90C85BE02}"/>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3 8" xfId="9030" xr:uid="{F975DAAD-4546-4770-9976-5C5C66DA227B}"/>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4 4" xfId="9248" xr:uid="{6C5F877B-48E6-47C2-B849-E53F373D5A86}"/>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2 4" xfId="9484" xr:uid="{69910E0C-08C8-41C5-A6FC-61B52F6CD538}"/>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2 8" xfId="9059" xr:uid="{76617FCA-DBA6-4291-BD32-6340A19903F7}"/>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3 4" xfId="9277" xr:uid="{DD01CD29-2559-4BCC-919C-99D1D75C445F}"/>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4 9" xfId="8852" xr:uid="{DF4BB962-85B1-44B5-A0FE-735796672772}"/>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2 4" xfId="9393" xr:uid="{C2991CC4-4E0B-46C4-B338-C6A1C9BA2DE9}"/>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5 8" xfId="8968" xr:uid="{BE877DDE-435D-4CBA-84F2-0372D1DDE771}"/>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6 4" xfId="9171" xr:uid="{C474601B-95F0-4C9E-AB77-B3E61D2A21D7}"/>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11" xfId="8772" xr:uid="{23628FEE-4113-4B2C-B2A0-0106FC7F55C2}"/>
    <cellStyle name="Normal 4 6 2" xfId="396" xr:uid="{00000000-0005-0000-0000-000003160000}"/>
    <cellStyle name="Normal 4 6 2 10" xfId="8825" xr:uid="{C3062495-9D56-441B-95F6-B73E7DAC524C}"/>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2 4" xfId="9560" xr:uid="{04DAEE11-A96E-4522-8546-8A0C107E12B9}"/>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2 8" xfId="9135" xr:uid="{2F4C420F-13DD-45DD-99DD-C7AFF7CD7823}"/>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3 4" xfId="9353" xr:uid="{60C7EC16-17DE-43AF-A246-41C667B376B7}"/>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2 9" xfId="8928" xr:uid="{EC58FE5E-68BA-4864-AD86-0F9D1DB17AD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2 4" xfId="9457" xr:uid="{E86AED2D-42AD-49DE-9461-1FA72B82C89E}"/>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3 8" xfId="9032" xr:uid="{576A1DC5-5971-4772-803F-0A60F80D4C41}"/>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4 4" xfId="9250" xr:uid="{CBBC9A51-5203-4C00-93C7-FE7C973DCDD1}"/>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2 4" xfId="9507" xr:uid="{63E4C3EA-8BE6-4CDE-9E44-1D64049D4CF5}"/>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2 8" xfId="9082" xr:uid="{B272D1AE-3713-4AD0-AE3F-D1A7344AD432}"/>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3 4" xfId="9300" xr:uid="{955A2E97-C871-4115-A4F5-A642AE2D2C4B}"/>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3 9" xfId="8875" xr:uid="{DFD24C28-B729-444D-A0F6-B5522ED354D5}"/>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2 4" xfId="9404" xr:uid="{D1BAB6D6-35EF-4C34-91EA-2EB17352CDF9}"/>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4 8" xfId="8979" xr:uid="{358D1440-F461-4509-8416-8F78F7D13FF4}"/>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5 4" xfId="9196" xr:uid="{8DF5D81E-BEC3-4373-A99C-2D9CDEEBBA3C}"/>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2 4" xfId="9475" xr:uid="{1E309EF6-7D7C-4A4D-B2F1-E00D0CF6E167}"/>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2 8" xfId="9050" xr:uid="{C18A0BCD-6C40-47C4-AC72-E06914F008F6}"/>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3 4" xfId="9268" xr:uid="{83DA99B2-5D77-4110-AEB9-304D3ECEF3EB}"/>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7 9" xfId="8843" xr:uid="{092972D9-0015-4C5A-94A6-5AFD2026266B}"/>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2 4" xfId="9384" xr:uid="{6351F1DA-E485-4044-8429-C0AE76E79EEE}"/>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8 8" xfId="8959" xr:uid="{E3216EF3-66EB-48FF-967C-A258B3C3F4FF}"/>
    <cellStyle name="Normal 4 9" xfId="4715" xr:uid="{00000000-0005-0000-0000-0000DD160000}"/>
    <cellStyle name="Normal 4 9 2" xfId="9162" xr:uid="{BC355FAB-4557-4712-A03F-EB5522B29E6A}"/>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14" xfId="8741" xr:uid="{6467398C-BC57-47BF-AF01-9B3356F8431F}"/>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13" xfId="8744" xr:uid="{40D5DF2B-E9DF-4D52-AAE0-3E5A94050B59}"/>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12" xfId="8753" xr:uid="{96D04E2F-D92F-448D-9FDA-8261D8BEE094}"/>
    <cellStyle name="Normal 5 2 2 2" xfId="409" xr:uid="{00000000-0005-0000-0000-0000F6160000}"/>
    <cellStyle name="Normal 5 2 2 2 10" xfId="4782" xr:uid="{00000000-0005-0000-0000-0000F7160000}"/>
    <cellStyle name="Normal 5 2 2 2 11" xfId="8771" xr:uid="{0E58ED1C-12F1-4692-801F-170CA6F7CBDB}"/>
    <cellStyle name="Normal 5 2 2 2 2" xfId="410" xr:uid="{00000000-0005-0000-0000-0000F8160000}"/>
    <cellStyle name="Normal 5 2 2 2 2 10" xfId="8829" xr:uid="{AC161972-21E9-4E03-8D2E-9F95632CB08D}"/>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2 4" xfId="9564" xr:uid="{15884BE4-44C0-46E7-A184-FC102AAADEB4}"/>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2 8" xfId="9139" xr:uid="{CFCC7179-F81D-4929-81F2-C6E64655A093}"/>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3 4" xfId="9357" xr:uid="{1809EB60-9E69-4954-99A5-643CD830C5FB}"/>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2 9" xfId="8932" xr:uid="{8A89D9DD-5FCE-4028-8D52-F4758EFA866E}"/>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2 4" xfId="9461" xr:uid="{815E4D9A-ED64-4B6C-A17A-F6D83CC40A47}"/>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3 8" xfId="9036" xr:uid="{2B9BC3AC-900A-42EE-A23F-E5574B6E75BC}"/>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4 4" xfId="9254" xr:uid="{B0B4DA0D-4C0F-4712-8BF0-280C2A85D575}"/>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2 4" xfId="9506" xr:uid="{65E8E1F9-5B62-47C9-8131-412DF42F5268}"/>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2 8" xfId="9081" xr:uid="{B0400C6D-4400-4F06-9092-2DCAD3324CF1}"/>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3 4" xfId="9299" xr:uid="{85780536-A38F-4D86-8846-D9FA6BB2D61D}"/>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3 9" xfId="8874" xr:uid="{D7CEB9F3-DFA5-483F-B08A-C4A582DD7FE8}"/>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2 4" xfId="9403" xr:uid="{DDA7C497-662A-4A76-A324-A27E6A0A2B3D}"/>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4 8" xfId="8978" xr:uid="{5B5F86B4-BA0F-43A7-920A-E466FD014739}"/>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5 4" xfId="9195" xr:uid="{A7E71EA0-2CA4-4918-870E-A32EEF45C61A}"/>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10" xfId="8828" xr:uid="{5CED8211-F967-469B-812B-9DF6FC250177}"/>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2 4" xfId="9563" xr:uid="{804E641C-B5FA-46A3-B805-C1D4AF390C28}"/>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2 8" xfId="9138" xr:uid="{BE73D583-3CAB-48A9-8A6F-E88EE69D1D1D}"/>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3 4" xfId="9356" xr:uid="{58BAA3B3-A7A2-4F6F-9929-D8BE9F0A557D}"/>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2 9" xfId="8931" xr:uid="{E27E09D3-2564-4B82-8EA4-A27330B6B436}"/>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2 4" xfId="9460" xr:uid="{423E0BE9-24F3-4EF0-8962-2565594BF831}"/>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3 8" xfId="9035" xr:uid="{6AC57173-16AF-4847-A277-E4254AACDA36}"/>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4 4" xfId="9253" xr:uid="{A5C3AAF9-67DD-41B1-A0BF-05B69F588F71}"/>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2 4" xfId="9488" xr:uid="{2997B11D-E810-48A4-BD3C-4498479B295E}"/>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2 8" xfId="9063" xr:uid="{3B1AA107-8D7F-4938-A60C-EED41E9B9A2A}"/>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3 4" xfId="9281" xr:uid="{9304050F-95A7-4BE3-AD21-FEBB7D0875B2}"/>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4 9" xfId="8856" xr:uid="{8A537EF5-BE1D-4B82-9546-B2DC1F74308F}"/>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2 4" xfId="9397" xr:uid="{3CB0B9A4-F907-4F52-ACFC-7970F7AF9B13}"/>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5 8" xfId="8972" xr:uid="{3CCC8856-6464-4309-A4F9-43F74A48C503}"/>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6 4" xfId="9175" xr:uid="{A0BC076A-DB75-4963-A17E-57836FA6391D}"/>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11" xfId="8776" xr:uid="{883173D2-CE3E-48F3-8E13-32EAEF7B08C3}"/>
    <cellStyle name="Normal 5 2 3 2" xfId="425" xr:uid="{00000000-0005-0000-0000-000034180000}"/>
    <cellStyle name="Normal 5 2 3 2 10" xfId="8830" xr:uid="{287E15F2-6F23-4B3E-B8AA-9DE92D950FBA}"/>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2 4" xfId="9565" xr:uid="{B33C5ECB-02D9-4BAF-B467-F38E8EEB7F6E}"/>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2 8" xfId="9140" xr:uid="{175A16DB-BA54-4083-AB68-1FA46DB27A86}"/>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3 4" xfId="9358" xr:uid="{5B196E7D-8DD9-4C59-A83C-7626B0E6004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2 9" xfId="8933" xr:uid="{2228AC18-CB51-4AF4-A227-403A8409C6C2}"/>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2 4" xfId="9462" xr:uid="{B4C14F1A-A88A-428F-A7F8-BAFD7E5CD045}"/>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3 8" xfId="9037" xr:uid="{EED46D7F-EFCD-4AC1-931D-AB06B694E7BE}"/>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4 4" xfId="9255" xr:uid="{C5A161BB-6C4F-4A9D-BBA7-7500B0B26A7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2 4" xfId="9511" xr:uid="{75EF02F8-0397-4B30-A858-343ADCA7C08D}"/>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2 8" xfId="9086" xr:uid="{442E5F61-F00C-4774-822F-4985AB3E1CB7}"/>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3 4" xfId="9304" xr:uid="{2C783A77-F32A-4E64-807E-062B95DB031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3 9" xfId="8879" xr:uid="{F521005C-E3E0-4B64-9C0A-0C510FB9AAB2}"/>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2 4" xfId="9408" xr:uid="{3B6F9C6F-3D7C-45F8-99FE-451C0F8CED36}"/>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4 8" xfId="8983" xr:uid="{07388FCC-03DE-4CE8-89CB-9C92F8174E24}"/>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5 4" xfId="9200" xr:uid="{13DE827A-4007-427A-9869-ADBBE6B70993}"/>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10" xfId="8827" xr:uid="{1EC4F605-F0BA-487E-A3C0-2CBAE7C22D8A}"/>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2 4" xfId="9562" xr:uid="{5E243FB4-F3B1-4B34-B377-1444454AD19E}"/>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2 8" xfId="9137" xr:uid="{C80E4B27-40CA-4953-ABB8-99E2C575F775}"/>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3 4" xfId="9355" xr:uid="{9D38A6AA-2F63-4275-9FB8-F86A15F6A4D3}"/>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2 9" xfId="8930" xr:uid="{66B84ABA-CAF3-4BBE-9026-E7A47CB6006F}"/>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2 4" xfId="9459" xr:uid="{ED2A936E-5624-4B26-A175-3FCE68E1BF5A}"/>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3 8" xfId="9034" xr:uid="{82D3DE5B-E868-4CF9-BA07-6E197DA4FAA5}"/>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4 4" xfId="9252" xr:uid="{1D1A8EC4-7286-46A1-B40C-E987F273E76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2 4" xfId="9479" xr:uid="{0DDFFFD4-5D62-4038-B6D4-9E9BD7CBA38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2 8" xfId="9054" xr:uid="{844F6476-DDB9-4C38-A2B2-83AB0DCF1773}"/>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3 4" xfId="9272" xr:uid="{8865498C-CC61-4C5F-A1F4-57A1D301E1CE}"/>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5 9" xfId="8847" xr:uid="{504334B5-BB84-4906-81A5-68746D711AC3}"/>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2 4" xfId="9388" xr:uid="{38BE55A5-085B-499D-8766-DF826B77D03C}"/>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6 8" xfId="8963" xr:uid="{01BDB756-0B70-4C0D-AC32-9959EE0C8F11}"/>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7 4" xfId="9166" xr:uid="{903BB692-5043-4803-B109-F7C532EB2A09}"/>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13" xfId="8750" xr:uid="{36957AEF-D081-4A23-AEE3-073A5901863C}"/>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11" xfId="8782" xr:uid="{4219AD28-469A-4693-BD0B-B0536AC433E5}"/>
    <cellStyle name="Normal 5 3 3 2" xfId="442" xr:uid="{00000000-0005-0000-0000-000076190000}"/>
    <cellStyle name="Normal 5 3 3 2 10" xfId="8832" xr:uid="{03323DDB-E4E1-4078-8BBE-EA3DD4471E1B}"/>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2 4" xfId="9567" xr:uid="{C2519486-6BC5-47D1-879F-EC6040BC9E9D}"/>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2 8" xfId="9142" xr:uid="{81CF9711-3A0B-4712-8E8F-033C974AA9E3}"/>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3 4" xfId="9360" xr:uid="{07447062-3C9B-4A41-BE9D-50DE495FF588}"/>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2 9" xfId="8935" xr:uid="{94B8766B-0DD5-4CC7-9403-D37FC711344B}"/>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2 4" xfId="9464" xr:uid="{6A182EEF-0879-47AD-839A-17D560B4AF3D}"/>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3 8" xfId="9039" xr:uid="{84D80CE6-A0CA-4841-8673-26EA7EC6806D}"/>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4 4" xfId="9257" xr:uid="{E6656214-6E5B-491F-B1E3-227CB6568726}"/>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2 4" xfId="9517" xr:uid="{EA62A3B1-8ED5-4A6F-ACE0-B924BC16AA9E}"/>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2 8" xfId="9092" xr:uid="{A018BC5E-3880-4BA4-8CFB-322C89A13B5F}"/>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3 4" xfId="9310" xr:uid="{D169C31A-17C5-4934-97DF-D90479FD2654}"/>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3 9" xfId="8885" xr:uid="{BFA59703-C126-4DE9-A819-9190501D5C5B}"/>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2 4" xfId="9414" xr:uid="{BD781A4C-FDA7-4D11-87F3-3D38EC19B37A}"/>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4 8" xfId="8989" xr:uid="{20FA1483-98E6-46C4-B00B-4EAF7957981D}"/>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5 4" xfId="9206" xr:uid="{CA749CBB-EAB5-483B-862D-D7B95A23D45C}"/>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10" xfId="8831" xr:uid="{39AD872D-FBC2-4C4A-B537-79F8014E4247}"/>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2 4" xfId="9566" xr:uid="{D483C248-9680-462F-989C-42C712CD6EB7}"/>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2 8" xfId="9141" xr:uid="{6B63A6D0-0E60-498B-8E53-451D5144533A}"/>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3 4" xfId="9359" xr:uid="{FAC41203-2BC4-411F-9296-10781BA4F1AB}"/>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2 9" xfId="8934" xr:uid="{D16D0DF9-4576-4200-8972-8AAD50545E0D}"/>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2 4" xfId="9463" xr:uid="{1CC38E89-013B-404F-9F3E-11BABC37F656}"/>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3 8" xfId="9038" xr:uid="{15024032-E3C2-4FDD-B674-481D39A836C5}"/>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4 4" xfId="9256" xr:uid="{69A14F57-2B46-4294-8CA5-E21858516C25}"/>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2 4" xfId="9485" xr:uid="{E88A0512-4544-44F7-B02F-696DEB177F8E}"/>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2 8" xfId="9060" xr:uid="{D76124DC-5753-46E4-97E7-1D76E6E20EEE}"/>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3 4" xfId="9278" xr:uid="{6197750A-97CA-41EF-A67C-63E25EE58E9E}"/>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5 9" xfId="8853" xr:uid="{049FA2CE-003F-47C1-A264-645323886F35}"/>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2 4" xfId="9394" xr:uid="{040FDD8C-10C9-4583-9A6E-8F76047ECA0C}"/>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6 8" xfId="8969" xr:uid="{FA7ABEAF-BFEA-4D3E-A53B-E23F3117BFD8}"/>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7 4" xfId="9172" xr:uid="{5609ABAF-B913-41DD-9CCE-B28C6A880815}"/>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11" xfId="8773" xr:uid="{50472F80-32FD-428C-B078-8DE338D6CA16}"/>
    <cellStyle name="Normal 5 4 2" xfId="457" xr:uid="{00000000-0005-0000-0000-0000AE1A0000}"/>
    <cellStyle name="Normal 5 4 2 10" xfId="8833" xr:uid="{6EA55230-8E5B-4EF6-B83C-8DF4202F8C31}"/>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2 4" xfId="9568" xr:uid="{C9922021-D284-4633-BD4E-F2DB1197482A}"/>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2 8" xfId="9143" xr:uid="{C8F15FA9-FDFE-4358-95A8-17B14299B14C}"/>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3 4" xfId="9361" xr:uid="{421F0FC8-8E8F-498F-BD31-B00CB58D5B43}"/>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2 9" xfId="8936" xr:uid="{31CF7A09-919D-40D2-B5FD-098CEA44D314}"/>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2 4" xfId="9465" xr:uid="{B8459C73-266B-467B-A163-FFDFF015A46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3 8" xfId="9040" xr:uid="{D68CAB17-BB41-4D9B-AA76-76FE511392DC}"/>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4 4" xfId="9258" xr:uid="{971C48A9-8200-405B-A9BE-B3AFD2CDDA76}"/>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2 4" xfId="9508" xr:uid="{1F9B5A8F-2A45-43C5-9422-E8BC84424A55}"/>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2 8" xfId="9083" xr:uid="{206384C8-6AD8-4D28-8F99-3033A80D68FC}"/>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3 4" xfId="9301" xr:uid="{CB02BBE7-2E3D-4C67-A62E-BA84DE882039}"/>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3 9" xfId="8876" xr:uid="{D636A598-175F-46A4-8005-1A20EC6CCEC9}"/>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2 4" xfId="9405" xr:uid="{F05DE0DC-A0AA-4CEB-9ABC-0D70F781B819}"/>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4 8" xfId="8980" xr:uid="{B1DB48A4-94CB-4CC2-8D4B-8FD478363D48}"/>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5 4" xfId="9197" xr:uid="{44FF0EFB-444B-4C40-B695-8C256ADB5563}"/>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10" xfId="8826" xr:uid="{5746674A-546A-44BF-97FB-6D298BF3AD61}"/>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2 4" xfId="9561" xr:uid="{FF1EB4DD-E23E-4228-816B-D59B021F724D}"/>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2 8" xfId="9136" xr:uid="{D41453B5-3BE6-4F01-B336-45A274529844}"/>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3 4" xfId="9354" xr:uid="{3251F49D-E700-469D-9840-28045D408641}"/>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2 9" xfId="8929" xr:uid="{918246BA-1946-46D4-8BAF-6DC0C4DC8AC3}"/>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2 4" xfId="9458" xr:uid="{8AD16727-CFBF-4DB5-B58F-04D48E2B564D}"/>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3 8" xfId="9033" xr:uid="{08F77EF7-8D03-42D9-B538-FE3582C4B971}"/>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4 4" xfId="9251" xr:uid="{4EAD9E35-D3C9-46BE-AE4D-29A1C6D5A6F7}"/>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2 4" xfId="9476" xr:uid="{3B3E6CA1-4D97-4B11-99D5-4F82314AA0E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2 8" xfId="9051" xr:uid="{97C72229-9AC1-4DA9-8A0B-8B4B6D970DE8}"/>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3 4" xfId="9269" xr:uid="{7D6728A0-C210-4F3F-8114-143B9AE0BFB4}"/>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6 9" xfId="8844" xr:uid="{91B947E4-8FF0-409F-B157-688724766D9F}"/>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2 4" xfId="9385" xr:uid="{2E4A3B0A-2E42-41AC-9564-09D1598995A2}"/>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7 8" xfId="8960" xr:uid="{F4BEC964-53C9-4393-B7F1-69B47FC1FF25}"/>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8 4" xfId="9163" xr:uid="{44C7CAD4-DD7C-48E0-9142-8ED22123C662}"/>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13" xfId="8742" xr:uid="{AF36CBBC-3EEB-4AC8-923B-65C7C2418AB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12" xfId="8751" xr:uid="{476D0553-3387-4D9F-B05B-56EC7A36F7A1}"/>
    <cellStyle name="Normal 8 2 2" xfId="480" xr:uid="{00000000-0005-0000-0000-0000F31B0000}"/>
    <cellStyle name="Normal 8 2 2 10" xfId="4845" xr:uid="{00000000-0005-0000-0000-0000F41B0000}"/>
    <cellStyle name="Normal 8 2 2 11" xfId="8783" xr:uid="{3C426022-C415-47DA-A8EF-1D6CE72527BD}"/>
    <cellStyle name="Normal 8 2 2 2" xfId="481" xr:uid="{00000000-0005-0000-0000-0000F51B0000}"/>
    <cellStyle name="Normal 8 2 2 2 10" xfId="8836" xr:uid="{870E50AF-610D-4E0C-BDE0-389D6B32A0FA}"/>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2 4" xfId="9571" xr:uid="{B467C179-FE08-45F9-B1E6-E66379D80EBC}"/>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2 8" xfId="9146" xr:uid="{0E570703-055D-406D-8BD9-575AF6037A75}"/>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3 4" xfId="9364" xr:uid="{21426B7C-FC96-483C-B560-AC4767107497}"/>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2 9" xfId="8939" xr:uid="{385BAC75-25D1-414A-8E33-9B6DCCA130DE}"/>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2 4" xfId="9468" xr:uid="{8CC4AD0E-72B4-4935-8967-B171D7B5EF8D}"/>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3 8" xfId="9043" xr:uid="{BAC463DF-40A7-4F07-ADD3-7274E57F505C}"/>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4 4" xfId="9261" xr:uid="{70C29865-A6DE-4682-9EB1-83E4E07FD0A7}"/>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2 4" xfId="9518" xr:uid="{FDE93D5E-A6D1-456B-8726-FC2AB8FD16A4}"/>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2 8" xfId="9093" xr:uid="{ADE34C72-BCCB-477C-B66A-BE7159CEB281}"/>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3 4" xfId="9311" xr:uid="{F4618F1E-1235-4269-B5C6-B09BE5034F6C}"/>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3 9" xfId="8886" xr:uid="{B2A45ACA-2377-4A40-A818-E7106AD46E3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2 4" xfId="9415" xr:uid="{88D7FF95-DEA9-4369-BE01-487FC7B2B7E8}"/>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4 8" xfId="8990" xr:uid="{F08D85C9-EB04-4227-BEA0-1B51DDB63DFA}"/>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5 4" xfId="9207" xr:uid="{D4CDC4D2-5794-400F-B850-1B259D26C1FE}"/>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10" xfId="8835" xr:uid="{2F0FB8B3-D08B-41EB-93AB-2D83A1BD6036}"/>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2 4" xfId="9570" xr:uid="{BA9732E0-D9E4-47DB-882D-D871A821FA55}"/>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2 8" xfId="9145" xr:uid="{C71E6005-187D-4837-92B4-619AF06B3A3B}"/>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3 4" xfId="9363" xr:uid="{C94C6C98-A8BC-4AC9-B084-0D2219E89AA8}"/>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2 9" xfId="8938" xr:uid="{1EAF77CE-4DC3-40DC-AA9D-31320D478EE9}"/>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2 4" xfId="9467" xr:uid="{C16001D7-8508-4511-808F-E990F8EA0FE3}"/>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3 8" xfId="9042" xr:uid="{D820ED39-BAB1-48C1-A68D-2017E247E432}"/>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4 4" xfId="9260" xr:uid="{70FF5A16-C89A-42B7-A603-E23A7C2F443C}"/>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2 4" xfId="9486" xr:uid="{9F6EBE4C-F02F-43A6-A388-D5EACB1B3099}"/>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2 8" xfId="9061" xr:uid="{7295DB82-9441-436C-AA3E-91B68F6E59B3}"/>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3 4" xfId="9279" xr:uid="{BA09D30D-BEBA-4223-83E6-57FB46A1EFA8}"/>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4 9" xfId="8854" xr:uid="{F1F9C500-F3E2-475A-983E-BD697F4BACD1}"/>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2 4" xfId="9395" xr:uid="{D5766EF3-6042-484F-B510-7448518CF571}"/>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5 8" xfId="8970" xr:uid="{7E9ACEFF-1680-45D8-BC32-8CA9BA1D63D4}"/>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6 4" xfId="9173" xr:uid="{C36295B3-E6F0-4A6D-AEE5-72C8177C13EE}"/>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11" xfId="8774" xr:uid="{81BDDADD-940D-4F3A-BD6C-7E4719C8A3D2}"/>
    <cellStyle name="Normal 8 3 2" xfId="496" xr:uid="{00000000-0005-0000-0000-0000311D0000}"/>
    <cellStyle name="Normal 8 3 2 10" xfId="8837" xr:uid="{392842AA-84B1-4A71-AE94-A1B631487B7E}"/>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2 4" xfId="9572" xr:uid="{83269435-2305-4677-BD8B-8CB801DC108A}"/>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2 8" xfId="9147" xr:uid="{16780743-13F5-44BF-919B-157B86988913}"/>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3 4" xfId="9365" xr:uid="{47FF7C14-7484-41B9-856F-11398F7B2C7C}"/>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2 9" xfId="8940" xr:uid="{63944EF0-E10A-4406-A758-3BD135650136}"/>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2 4" xfId="9469" xr:uid="{7CA6C380-A6E9-4AF4-A29A-E40C8E9B5B5F}"/>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3 8" xfId="9044" xr:uid="{5ED49706-9CA9-4EE9-B01D-112CD1DB587C}"/>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4 4" xfId="9262" xr:uid="{8842595C-CD28-4B10-9BE6-37883B4C2AA9}"/>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2 4" xfId="9509" xr:uid="{3B4378D3-7C51-4B91-822B-758528BFF352}"/>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2 8" xfId="9084" xr:uid="{94243AB7-0454-4C95-8E94-054E46718167}"/>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3 4" xfId="9302" xr:uid="{3985B908-2B56-4F9B-BEA3-8962926FD004}"/>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3 9" xfId="8877" xr:uid="{4F8231E3-800E-43E7-B1B6-9633EBFFFFE1}"/>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2 4" xfId="9406" xr:uid="{8751BE45-E47B-4A0A-B0DE-04C14FAEA88D}"/>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4 8" xfId="8981" xr:uid="{BEE184E9-ECE6-4107-B29A-CC8BC7F28FA3}"/>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5 4" xfId="9198" xr:uid="{FA5A5C79-C3AC-4E17-9344-90C4E411EE0B}"/>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10" xfId="8834" xr:uid="{78848A4E-06FA-4050-B553-A3A7DEA1B047}"/>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2 4" xfId="9569" xr:uid="{F21122F8-27BB-4D46-891E-281F736F5353}"/>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2 8" xfId="9144" xr:uid="{EF6B0978-3DE8-47DC-990C-0B47AAC8F1DC}"/>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3 4" xfId="9362" xr:uid="{206856BB-FDDB-4012-ABFE-5E991E477A14}"/>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2 9" xfId="8937" xr:uid="{B425CDA4-C1C1-4A6C-AB85-CE28E324A88F}"/>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2 4" xfId="9466" xr:uid="{4C42748F-6D34-4D0D-8AE2-FFD5C0CBE26F}"/>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3 8" xfId="9041" xr:uid="{3EA15F1E-D38A-4BB8-BEC6-98D9A94BB79B}"/>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4 4" xfId="9259" xr:uid="{45904BAA-3C39-482B-A2B6-0FB84C0B889C}"/>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2 4" xfId="9477" xr:uid="{62ED1F43-6081-4B0B-94C3-5999D37D11C7}"/>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2 8" xfId="9052" xr:uid="{D754D15A-EECE-4975-9542-AF3C340304E3}"/>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3 4" xfId="9270" xr:uid="{88F9D262-71F2-4DD2-A7F6-B0DCE74ABD45}"/>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5 9" xfId="8845" xr:uid="{C8167C67-59BC-42DE-816D-718433EFB28C}"/>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2 4" xfId="9386" xr:uid="{45A5CE0D-B006-45BB-A53E-22B23F4367E3}"/>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6 8" xfId="8961" xr:uid="{36060843-7B38-46C3-B2F1-7172ECB11EEE}"/>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7 4" xfId="9164" xr:uid="{EA2ADDDA-E9AC-4FF8-B08B-61B1D6489A46}"/>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12" xfId="8754" xr:uid="{9024D06A-4C5F-4C89-BCDB-29B8C924FF52}"/>
    <cellStyle name="Normal 9 2 2" xfId="512" xr:uid="{00000000-0005-0000-0000-00006C1E0000}"/>
    <cellStyle name="Normal 9 2 2 10" xfId="4876" xr:uid="{00000000-0005-0000-0000-00006D1E0000}"/>
    <cellStyle name="Normal 9 2 2 11" xfId="8785" xr:uid="{3048542E-ED39-45ED-9C91-0140D2CF60D9}"/>
    <cellStyle name="Normal 9 2 2 2" xfId="513" xr:uid="{00000000-0005-0000-0000-00006E1E0000}"/>
    <cellStyle name="Normal 9 2 2 2 10" xfId="8839" xr:uid="{3B2DC7F4-4F49-4AE2-9279-EFD4857A149B}"/>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2 4" xfId="9574" xr:uid="{00EB170D-8A20-4280-B781-E452C3590555}"/>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2 8" xfId="9149" xr:uid="{6C0BEC1E-EE3B-4956-830C-8775C93DB46A}"/>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3 4" xfId="9367" xr:uid="{4A654E22-020A-4B0F-8753-639C44EA908A}"/>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2 9" xfId="8942" xr:uid="{0DE8A022-819C-4D6A-B102-31C1C7F429A5}"/>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2 4" xfId="9471" xr:uid="{E472D827-532E-42C0-B781-9E63FEBCFCF5}"/>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3 8" xfId="9046" xr:uid="{6B7E07C7-E90B-4AE9-8FE8-76EF28E8FC85}"/>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4 4" xfId="9264" xr:uid="{0137E036-48D9-4B3B-9B73-0002A19DDE9E}"/>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2 4" xfId="9520" xr:uid="{57CFBD10-691F-4DF8-8020-B75E98FF60DD}"/>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2 8" xfId="9095" xr:uid="{D95088B7-D227-4E97-A9B9-DA61436DD386}"/>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3 4" xfId="9313" xr:uid="{FDDC600D-FDDD-4FFC-9820-DFD7E0768F33}"/>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3 9" xfId="8888" xr:uid="{47457178-62A7-4ACA-95A1-433BF4FD3D65}"/>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2 4" xfId="9417" xr:uid="{FDB8A679-B5B8-4E9B-808D-E68F6CA01958}"/>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4 8" xfId="8992" xr:uid="{8AFFF8AD-8552-4B33-AAFF-7DACAE25085E}"/>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5 4" xfId="9209" xr:uid="{66E66B93-842C-41D8-A807-A065C03CFEBD}"/>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10" xfId="8838" xr:uid="{3F59BADF-95CF-4831-9CE1-8ACBDD585DF1}"/>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2 4" xfId="9573" xr:uid="{376F8566-2407-40B8-9531-D3E757BE7A23}"/>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2 8" xfId="9148" xr:uid="{E1A2F3F0-C8EA-47FA-BB37-18F117041A87}"/>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3 4" xfId="9366" xr:uid="{136A6B94-9CAA-4F6C-B09D-7385900FCA38}"/>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2 9" xfId="8941" xr:uid="{DDA1E375-E708-45D0-9119-207D493A75BA}"/>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2 4" xfId="9470" xr:uid="{B46EA5E7-4A9D-405A-94B0-2C155F0DE1F1}"/>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3 8" xfId="9045" xr:uid="{CD23D75F-FCE1-471A-A55A-DAC6FB15D069}"/>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4 4" xfId="9263" xr:uid="{8E7B719A-F76B-4A2B-A5A7-1A883FD6976F}"/>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2 4" xfId="9489" xr:uid="{4BA9DC16-58A7-4D6B-90A6-6BB0C51A0279}"/>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2 8" xfId="9064" xr:uid="{7D4090C3-C767-4FFF-8A1F-282B2C8BAE68}"/>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3 4" xfId="9282" xr:uid="{2471E5AC-3D06-4E90-9462-C54FACA9B22B}"/>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4 9" xfId="8857" xr:uid="{D785C0E6-B403-4CCC-AB0B-78E822EF1E4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2 4" xfId="9398" xr:uid="{5B2A416E-986C-4898-8893-9EAFDDDBCDD4}"/>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5 8" xfId="8973" xr:uid="{BA9464C2-72F7-4B38-B1BD-6986FFA433D9}"/>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6 4" xfId="9176" xr:uid="{F3933A08-5B20-47C9-B0FC-7B73F4B0BA7D}"/>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11" xfId="8777" xr:uid="{1F3D7E21-FC22-4F0C-9371-3D8250746BB7}"/>
    <cellStyle name="Normal 9 3 2" xfId="528" xr:uid="{00000000-0005-0000-0000-0000AA1F0000}"/>
    <cellStyle name="Normal 9 3 2 10" xfId="8840" xr:uid="{94797BE2-1721-4871-A768-79D4D45F48BB}"/>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2 4" xfId="9575" xr:uid="{DA05DE06-1987-4B8E-8439-C692853FF296}"/>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2 8" xfId="9150" xr:uid="{F54F74BE-A583-4C94-A198-8E0D27AD7F4F}"/>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3 4" xfId="9368" xr:uid="{B3189122-1774-442D-BD5B-8DA329618536}"/>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2 9" xfId="8943" xr:uid="{1E59706A-169E-45B8-A6E4-1A0514B9DDBD}"/>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2 4" xfId="9472" xr:uid="{427A8E71-9BC4-47C0-A855-6886AF96C97E}"/>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3 8" xfId="9047" xr:uid="{4CBBBE80-D24B-484D-910E-0072EA0E95DD}"/>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4 4" xfId="9265" xr:uid="{BF00A9B8-67BA-48F6-8D48-0E4380D60577}"/>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2 4" xfId="9512" xr:uid="{2D87B26D-94B2-43FF-B3AD-59DF0A117D21}"/>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2 8" xfId="9087" xr:uid="{B1C8DB1F-59B6-4D6A-B3E7-0CFC4D29D9A9}"/>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3 4" xfId="9305" xr:uid="{F54F3A88-B268-4905-B4D1-34B996B920C6}"/>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3 9" xfId="8880" xr:uid="{36521590-FD5B-45F7-80A9-41BA557EA82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2 4" xfId="9409" xr:uid="{F8EFC02C-357C-44AD-9BF7-6459F3C595DA}"/>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4 8" xfId="8984" xr:uid="{A39B104A-EAEF-4D5B-B504-6104111E924B}"/>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5 4" xfId="9201" xr:uid="{46D523D7-8DEB-46FB-8F1C-8CE8C2FC3AD3}"/>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2 4" xfId="9480" xr:uid="{BC9702BE-C2B3-450A-99DF-6FFE7C7A82FD}"/>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2 8" xfId="9055" xr:uid="{3DD071E2-A4B3-45E3-9F20-3C2D5AEE5CB2}"/>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3 4" xfId="9273" xr:uid="{AE6CB61B-02C5-436E-A328-3B2AC8AC9E53}"/>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5 9" xfId="8848" xr:uid="{B1BE5F70-14E5-42B6-9EBA-D267F3B60A08}"/>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2 4" xfId="9389" xr:uid="{2A0458F6-466A-4C3B-BA39-FF09FD770FDD}"/>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6 8" xfId="8964" xr:uid="{9BBC9C46-7A3A-4BC9-9542-DC33DFA165C2}"/>
    <cellStyle name="Normal 9 7" xfId="977" xr:uid="{00000000-0005-0000-0000-000086200000}"/>
    <cellStyle name="Normal 9 7 2" xfId="9609" xr:uid="{1246D22D-2382-4FAF-A8D6-CB26E2B9F9CE}"/>
    <cellStyle name="Normal 9 7 3" xfId="9167" xr:uid="{F9EED645-1D44-43CF-99A5-77176BA4CE36}"/>
    <cellStyle name="Normal 9 8" xfId="8745" xr:uid="{C1852A12-4F74-491B-976C-56AD8D4478B4}"/>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12" xfId="8841" xr:uid="{E94E1FD8-31C4-4718-9658-C7A587CBF323}"/>
    <cellStyle name="Note 2 2 2" xfId="546" xr:uid="{00000000-0005-0000-0000-000095200000}"/>
    <cellStyle name="Note 2 2 2 10" xfId="4903" xr:uid="{00000000-0005-0000-0000-000096200000}"/>
    <cellStyle name="Note 2 2 2 11" xfId="8944" xr:uid="{B75A3404-A4A3-41D6-B6C3-54560C6DD592}"/>
    <cellStyle name="Note 2 2 2 2" xfId="547" xr:uid="{00000000-0005-0000-0000-000097200000}"/>
    <cellStyle name="Note 2 2 2 2 10" xfId="9151" xr:uid="{DE810DD8-00EC-4339-9CFC-C84D5E182971}"/>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2 4" xfId="9576" xr:uid="{375E296C-598F-454E-B7C4-9E851CE02ED2}"/>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3 4" xfId="9369" xr:uid="{37FCA23B-964B-404F-A343-B489211FDCDC}"/>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10" xfId="9048" xr:uid="{894401FF-B7D8-49E8-91E6-A1C42DD04D54}"/>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2 4" xfId="9473" xr:uid="{7711F4E0-385B-44CD-ACEA-5E9D7E4CD8DC}"/>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4 4" xfId="9266" xr:uid="{8B6F7B8D-50FA-47DA-836F-17B0F9492E54}"/>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11" xfId="8894" xr:uid="{2BFFE8D0-DA42-4876-8895-58F80713E965}"/>
    <cellStyle name="Note 2 3 2" xfId="550" xr:uid="{00000000-0005-0000-0000-0000EF200000}"/>
    <cellStyle name="Note 2 3 2 10" xfId="9101" xr:uid="{1822EEA2-225E-465E-B4CD-D4615440EC62}"/>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2 4" xfId="9526" xr:uid="{1C428179-0C82-4F5D-9FE4-E11D597F9E89}"/>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3 4" xfId="9319" xr:uid="{06E4A3C6-5CAA-4424-B4C3-41162F21AE7D}"/>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10" xfId="8998" xr:uid="{AC87C288-14A9-4FB3-A26C-1706964E6651}"/>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2 4" xfId="9423" xr:uid="{43B93802-BE55-43D9-BEBC-4095E3C1FF74}"/>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10" xfId="9215" xr:uid="{69947D86-0683-476F-9E74-96CA0809156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2 4" xfId="9610" xr:uid="{26530D10-1DF8-4FA4-8FC9-4C945AA92A94}"/>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2 6" xfId="9587" xr:uid="{DE0DCBC9-1C06-4AD6-BDCF-10B3C6A625B6}"/>
    <cellStyle name="Note 2 7" xfId="8791" xr:uid="{7AC3614D-154D-4BB0-B207-B3151ECF2433}"/>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12" xfId="8842" xr:uid="{646587AC-B7A9-43E2-AC1E-1B77745805D8}"/>
    <cellStyle name="Note 3 2 2" xfId="555" xr:uid="{00000000-0005-0000-0000-00004E210000}"/>
    <cellStyle name="Note 3 2 2 10" xfId="4911" xr:uid="{00000000-0005-0000-0000-00004F210000}"/>
    <cellStyle name="Note 3 2 2 11" xfId="8945" xr:uid="{D320AF38-4F47-4266-9CB9-3BD7E15BFDAE}"/>
    <cellStyle name="Note 3 2 2 2" xfId="556" xr:uid="{00000000-0005-0000-0000-000050210000}"/>
    <cellStyle name="Note 3 2 2 2 10" xfId="9152" xr:uid="{24874F5B-4700-44ED-9556-84C4E89A274D}"/>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2 4" xfId="9577" xr:uid="{7C0C89D7-CA14-4942-89B2-D584AC810EDC}"/>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3 4" xfId="9370" xr:uid="{7A803908-679B-4EF0-9BD4-89724B1FB321}"/>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10" xfId="9049" xr:uid="{98DA21AE-8EED-4AF2-A5D5-94394E9C9EFE}"/>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2 4" xfId="9474" xr:uid="{8827394E-7DCF-4E58-BF45-94E8587F7D91}"/>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4 4" xfId="9267" xr:uid="{1291CED5-E18E-4F1A-8856-A132B18F5C81}"/>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11" xfId="8892" xr:uid="{8511F94A-7472-4DD0-A9AB-40754FEE5F47}"/>
    <cellStyle name="Note 3 3 2" xfId="559" xr:uid="{00000000-0005-0000-0000-0000A8210000}"/>
    <cellStyle name="Note 3 3 2 10" xfId="9099" xr:uid="{29F3AC20-D296-4B59-BA53-0A5C025B0569}"/>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2 4" xfId="9524" xr:uid="{D03F5DE7-D9AB-48C0-A1E3-0A929D2C18C5}"/>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3 4" xfId="9317" xr:uid="{171D8024-554D-4F15-BFD3-81CBE1A601EA}"/>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10" xfId="8996" xr:uid="{0D704BEA-0820-4E61-9EA3-F4C1E73C6543}"/>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2 4" xfId="9421" xr:uid="{EC0A57E0-416C-4EC5-866A-A09E44531CB5}"/>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10" xfId="9213" xr:uid="{D9D7FB9A-B03C-4A97-A778-36731B43DF3F}"/>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2 4" xfId="9611" xr:uid="{74765414-66B3-4FDA-BA21-3BFFEF98E338}"/>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Note 3 6" xfId="9588" xr:uid="{4A2A2C5B-BA67-4FBC-A2F1-7546BE1E0E7F}"/>
    <cellStyle name="Note 3 7" xfId="8789" xr:uid="{EE6BC007-A514-4F23-A927-A69B937DFEC6}"/>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3 2" xfId="9592" xr:uid="{83DA2B54-7279-48F3-83E3-F05AB9A73009}"/>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Percent 4 3 2 2 2 2 2" xfId="8738" xr:uid="{6E8E2E28-A7F9-4A25-B776-057753BCE0A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7">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strike val="0"/>
        <color theme="0" tint="-0.34998626667073579"/>
      </font>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8.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81</xdr:row>
      <xdr:rowOff>0</xdr:rowOff>
    </xdr:from>
    <xdr:to>
      <xdr:col>0</xdr:col>
      <xdr:colOff>533400</xdr:colOff>
      <xdr:row>89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81</xdr:row>
      <xdr:rowOff>0</xdr:rowOff>
    </xdr:from>
    <xdr:to>
      <xdr:col>0</xdr:col>
      <xdr:colOff>527685</xdr:colOff>
      <xdr:row>89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9525</xdr:colOff>
          <xdr:row>77</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editAs="oneCell">
    <xdr:from>
      <xdr:col>1</xdr:col>
      <xdr:colOff>276225</xdr:colOff>
      <xdr:row>14</xdr:row>
      <xdr:rowOff>47625</xdr:rowOff>
    </xdr:from>
    <xdr:to>
      <xdr:col>4</xdr:col>
      <xdr:colOff>419419</xdr:colOff>
      <xdr:row>15</xdr:row>
      <xdr:rowOff>133385</xdr:rowOff>
    </xdr:to>
    <xdr:pic>
      <xdr:nvPicPr>
        <xdr:cNvPr id="10" name="Picture 9">
          <a:extLst>
            <a:ext uri="{FF2B5EF4-FFF2-40B4-BE49-F238E27FC236}">
              <a16:creationId xmlns:a16="http://schemas.microsoft.com/office/drawing/2014/main" id="{BC410C00-2F2A-4FDE-A5AE-AA6A7D018D91}"/>
            </a:ext>
          </a:extLst>
        </xdr:cNvPr>
        <xdr:cNvPicPr>
          <a:picLocks noChangeAspect="1"/>
        </xdr:cNvPicPr>
      </xdr:nvPicPr>
      <xdr:blipFill>
        <a:blip xmlns:r="http://schemas.openxmlformats.org/officeDocument/2006/relationships" r:embed="rId4"/>
        <a:stretch>
          <a:fillRect/>
        </a:stretch>
      </xdr:blipFill>
      <xdr:spPr>
        <a:xfrm>
          <a:off x="990600" y="2600325"/>
          <a:ext cx="2286319" cy="247685"/>
        </a:xfrm>
        <a:prstGeom prst="rect">
          <a:avLst/>
        </a:prstGeom>
      </xdr:spPr>
    </xdr:pic>
    <xdr:clientData/>
  </xdr:twoCellAnchor>
  <xdr:twoCellAnchor editAs="oneCell">
    <xdr:from>
      <xdr:col>0</xdr:col>
      <xdr:colOff>581025</xdr:colOff>
      <xdr:row>20</xdr:row>
      <xdr:rowOff>47625</xdr:rowOff>
    </xdr:from>
    <xdr:to>
      <xdr:col>9</xdr:col>
      <xdr:colOff>162764</xdr:colOff>
      <xdr:row>73</xdr:row>
      <xdr:rowOff>48823</xdr:rowOff>
    </xdr:to>
    <xdr:pic>
      <xdr:nvPicPr>
        <xdr:cNvPr id="11" name="Picture 10">
          <a:extLst>
            <a:ext uri="{FF2B5EF4-FFF2-40B4-BE49-F238E27FC236}">
              <a16:creationId xmlns:a16="http://schemas.microsoft.com/office/drawing/2014/main" id="{7ABC5AC3-B7CB-420E-8579-4A6F89F94CBD}"/>
            </a:ext>
          </a:extLst>
        </xdr:cNvPr>
        <xdr:cNvPicPr>
          <a:picLocks noChangeAspect="1"/>
        </xdr:cNvPicPr>
      </xdr:nvPicPr>
      <xdr:blipFill>
        <a:blip xmlns:r="http://schemas.openxmlformats.org/officeDocument/2006/relationships" r:embed="rId5"/>
        <a:stretch>
          <a:fillRect/>
        </a:stretch>
      </xdr:blipFill>
      <xdr:spPr>
        <a:xfrm>
          <a:off x="581025" y="3571875"/>
          <a:ext cx="6011114" cy="8583223"/>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twoCellAnchor editAs="oneCell">
    <xdr:from>
      <xdr:col>1</xdr:col>
      <xdr:colOff>638175</xdr:colOff>
      <xdr:row>81</xdr:row>
      <xdr:rowOff>57150</xdr:rowOff>
    </xdr:from>
    <xdr:to>
      <xdr:col>7</xdr:col>
      <xdr:colOff>572089</xdr:colOff>
      <xdr:row>86</xdr:row>
      <xdr:rowOff>76316</xdr:rowOff>
    </xdr:to>
    <xdr:pic>
      <xdr:nvPicPr>
        <xdr:cNvPr id="12" name="Picture 11">
          <a:extLst>
            <a:ext uri="{FF2B5EF4-FFF2-40B4-BE49-F238E27FC236}">
              <a16:creationId xmlns:a16="http://schemas.microsoft.com/office/drawing/2014/main" id="{FA8A7976-60DF-4FF9-91D3-92350789D822}"/>
            </a:ext>
          </a:extLst>
        </xdr:cNvPr>
        <xdr:cNvPicPr>
          <a:picLocks noChangeAspect="1"/>
        </xdr:cNvPicPr>
      </xdr:nvPicPr>
      <xdr:blipFill>
        <a:blip xmlns:r="http://schemas.openxmlformats.org/officeDocument/2006/relationships" r:embed="rId6"/>
        <a:stretch>
          <a:fillRect/>
        </a:stretch>
      </xdr:blipFill>
      <xdr:spPr>
        <a:xfrm>
          <a:off x="1352550" y="13458825"/>
          <a:ext cx="4220164" cy="828791"/>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79375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10" totalsRowShown="0" headerRowDxfId="126">
  <autoFilter ref="BD2:BF110" xr:uid="{20D12FE9-D671-46AE-8E74-697FC9E00D36}"/>
  <tableColumns count="3">
    <tableColumn id="1" xr3:uid="{6D57456F-8765-4265-AAB0-1C6229D75231}" name="Key"/>
    <tableColumn id="2" xr3:uid="{364B4D43-EEAF-424D-B3F3-B1165A9E3181}" name="Value" dataDxfId="125"/>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464F0188-0DBE-4A79-A964-B681F05AF016}" name="Table25" displayName="Table25" ref="BM8:BM13" totalsRowShown="0" headerRowDxfId="124" dataDxfId="123" headerRowCellStyle="Normal 16 3" dataCellStyle="Normal 16 3">
  <autoFilter ref="BM8:BM13" xr:uid="{EC5E3245-E94C-4732-9264-A1FF7840F5A2}"/>
  <tableColumns count="1">
    <tableColumn id="1" xr3:uid="{FC9561DE-AB40-4108-8A40-2198A441853F}" name="Construction Type" dataDxfId="122"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21" dataDxfId="120"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9" dataCellStyle="Normal 15">
      <calculatedColumnFormula>IFERROR(MIN(4,MATCH(Application!B726,UnitSizes,0)-1),"")</calculatedColumnFormula>
    </tableColumn>
    <tableColumn id="3" xr3:uid="{3C170205-C158-4CBB-8CF5-9AF725351349}" name="Quantity" dataDxfId="118" dataCellStyle="Normal 15">
      <calculatedColumnFormula>Application!G726</calculatedColumnFormula>
    </tableColumn>
    <tableColumn id="6" xr3:uid="{7C05B4DE-3AC1-47F3-9C25-D16553367CFA}" name="iAMI" dataDxfId="117" dataCellStyle="Percent">
      <calculatedColumnFormula>Application!AC726</calculatedColumnFormula>
    </tableColumn>
    <tableColumn id="7" xr3:uid="{2B6706B4-1A54-4104-A649-2FE0A4FF8E92}" name="AMI" dataDxfId="116" dataCellStyle="Percent">
      <calculatedColumnFormula>IF(Cdlac[[#This Row],[Quantity]]&gt;0,IF(Cdlac[[#This Row],[Federal]],30%,IF(AND(OR(NOT($G$38),$G$38=""),$G$43),40%,Cdlac[[#This Row],[iAMI]])),"")</calculatedColumnFormula>
    </tableColumn>
    <tableColumn id="8" xr3:uid="{A8EB42BE-4789-45EE-A11C-67C20CB0D91B}" name="Restricted Rent" dataDxfId="115" dataCellStyle="Normal 15">
      <calculatedColumnFormula array="1">IF(Cdlac[[#This Row],[Quantity]]&gt;0,INDEX(TcacRents,$P$18,Cdlac[[#This Row],[Bedrooms]]+1)*Cdlac[[#This Row],[AMI]],"")</calculatedColumnFormula>
    </tableColumn>
    <tableColumn id="1" xr3:uid="{DB79DEA5-8C58-4800-B67F-14CBEB0E0B62}" name="Preservation Rent" dataDxfId="114" dataCellStyle="Normal 15"/>
    <tableColumn id="9" xr3:uid="{E7AC364D-B07B-4A38-B74E-DAE64921E290}" name="Fair Market Rent" dataDxfId="113" dataCellStyle="Normal 15">
      <calculatedColumnFormula array="1">IF(Cdlac[[#This Row],[Quantity]]&gt;0,INDEX(HudFmrs,$P$18,Cdlac[[#This Row],[Bedrooms]]+1),"")</calculatedColumnFormula>
    </tableColumn>
    <tableColumn id="10" xr3:uid="{630C504C-0251-4207-88FB-451973BE380A}" name="Delta" dataDxfId="112"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11" dataCellStyle="Normal 15">
      <calculatedColumnFormula>IF(Cdlac[[#This Row],[Quantity]]&gt;0,AND(Application!AK726&lt;&gt;"N/A",Application!AK726&lt;&gt;"")*Cdlac[[#This Row],[Quantity]],"")</calculatedColumnFormula>
    </tableColumn>
    <tableColumn id="4" xr3:uid="{5D52F6BE-992B-4621-8785-ED1E8B62A78F}" name="Federal" dataDxfId="110"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6/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2026/rural-status.pdf"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workbookViewId="0">
      <selection activeCell="C175" sqref="C175"/>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609" t="s">
        <v>550</v>
      </c>
      <c r="B1" s="1609"/>
      <c r="C1" s="1609"/>
      <c r="D1" s="1609"/>
      <c r="E1" s="1609"/>
      <c r="F1" s="1609"/>
      <c r="G1" s="1609"/>
      <c r="H1" s="1609"/>
      <c r="I1" s="1609"/>
      <c r="J1" s="1609"/>
      <c r="K1" s="1609"/>
      <c r="L1" s="1609"/>
      <c r="M1" s="1609"/>
      <c r="N1" s="1609"/>
      <c r="O1" s="1609"/>
      <c r="P1" s="1609"/>
      <c r="Q1" s="1609"/>
      <c r="R1" s="1609"/>
      <c r="S1" s="1609"/>
      <c r="T1" s="1609"/>
      <c r="U1" s="1609"/>
      <c r="V1" s="1609"/>
      <c r="W1" s="1609"/>
      <c r="X1" s="1609"/>
      <c r="Y1" s="1609"/>
      <c r="Z1" s="1609"/>
      <c r="AA1" s="1609"/>
      <c r="AB1" s="1609"/>
      <c r="AC1" s="1609"/>
      <c r="AD1" s="1609"/>
      <c r="AE1" s="1609"/>
      <c r="AF1" s="1609"/>
      <c r="AG1" s="1609"/>
      <c r="AH1" s="1609"/>
      <c r="AI1" s="1609"/>
      <c r="AJ1" s="1609"/>
      <c r="AK1" s="1609"/>
      <c r="AL1" s="1609"/>
    </row>
    <row r="2" spans="1:38" ht="13.5" thickBot="1">
      <c r="A2" s="1805"/>
      <c r="B2" s="1805"/>
      <c r="C2" s="1805"/>
      <c r="D2" s="1805"/>
      <c r="E2" s="1805"/>
      <c r="F2" s="1805"/>
      <c r="G2" s="1805"/>
      <c r="H2" s="1805"/>
      <c r="I2" s="1805"/>
      <c r="J2" s="1805"/>
      <c r="K2" s="1805"/>
      <c r="L2" s="1805"/>
      <c r="M2" s="1805"/>
      <c r="N2" s="1805"/>
      <c r="O2" s="1805"/>
      <c r="P2" s="1805"/>
      <c r="Q2" s="1805"/>
      <c r="R2" s="1805"/>
      <c r="S2" s="1805"/>
      <c r="T2" s="1805"/>
      <c r="U2" s="1805"/>
      <c r="V2" s="1805"/>
      <c r="W2" s="1805"/>
      <c r="X2" s="1805"/>
      <c r="Y2" s="1805"/>
      <c r="Z2" s="1805"/>
      <c r="AA2" s="1805"/>
      <c r="AB2" s="1805"/>
      <c r="AC2" s="1805"/>
      <c r="AD2" s="1805"/>
      <c r="AE2" s="1805"/>
      <c r="AF2" s="1805"/>
      <c r="AG2" s="1805"/>
      <c r="AH2" s="1805"/>
      <c r="AI2" s="1805"/>
      <c r="AJ2" s="1805"/>
      <c r="AK2" s="1805"/>
      <c r="AL2" s="1805"/>
    </row>
    <row r="3" spans="1:38" ht="13.5" thickTop="1"/>
    <row r="4" spans="1:38" s="5" customFormat="1">
      <c r="B4" s="11" t="s">
        <v>556</v>
      </c>
      <c r="C4" s="11" t="s">
        <v>508</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207</v>
      </c>
      <c r="D6" s="2" t="s">
        <v>330</v>
      </c>
      <c r="F6" s="4"/>
      <c r="G6" s="4"/>
      <c r="H6" s="4"/>
      <c r="I6" s="4"/>
      <c r="J6" s="4"/>
      <c r="K6" s="4"/>
      <c r="L6" s="4"/>
      <c r="M6" s="4"/>
      <c r="N6" s="4"/>
      <c r="O6" s="4"/>
      <c r="P6" s="4"/>
      <c r="Q6" s="4"/>
      <c r="R6" s="4"/>
      <c r="S6" s="4"/>
      <c r="T6" s="4"/>
      <c r="U6" s="4"/>
      <c r="V6" s="4"/>
      <c r="W6" s="4"/>
      <c r="X6" s="4"/>
      <c r="Y6" s="4"/>
      <c r="Z6" s="4"/>
      <c r="AA6" s="4"/>
      <c r="AB6" s="4"/>
    </row>
    <row r="7" spans="1:38" ht="13.15" customHeight="1">
      <c r="A7" s="204"/>
      <c r="B7" s="204"/>
      <c r="C7" s="205"/>
      <c r="D7" s="1480" t="s">
        <v>1993</v>
      </c>
      <c r="E7" s="1480"/>
      <c r="F7" s="1480"/>
      <c r="G7" s="1480"/>
      <c r="H7" s="1480"/>
      <c r="I7" s="1480"/>
      <c r="J7" s="1480"/>
      <c r="K7" s="1480"/>
      <c r="L7" s="1480"/>
      <c r="M7" s="1480"/>
      <c r="N7" s="1480"/>
      <c r="O7" s="1480"/>
      <c r="P7" s="1480"/>
      <c r="Q7" s="1480"/>
      <c r="R7" s="1480"/>
      <c r="S7" s="1480"/>
      <c r="T7" s="1480"/>
      <c r="U7" s="1480"/>
      <c r="V7" s="1480"/>
      <c r="W7" s="1480"/>
      <c r="X7" s="1480"/>
      <c r="Y7" s="1480"/>
      <c r="Z7" s="1480"/>
      <c r="AA7" s="1480"/>
      <c r="AB7" s="1480"/>
      <c r="AC7" s="1480"/>
      <c r="AD7" s="1480"/>
      <c r="AE7" s="1480"/>
      <c r="AF7" s="1480"/>
      <c r="AG7" s="1480"/>
      <c r="AH7" s="1480"/>
      <c r="AI7" s="1480"/>
      <c r="AJ7" s="1480"/>
      <c r="AK7" s="1480"/>
      <c r="AL7" s="455"/>
    </row>
    <row r="8" spans="1:38">
      <c r="A8" s="204"/>
      <c r="B8" s="204"/>
      <c r="C8" s="205"/>
      <c r="D8" s="1480"/>
      <c r="E8" s="1480"/>
      <c r="F8" s="1480"/>
      <c r="G8" s="1480"/>
      <c r="H8" s="1480"/>
      <c r="I8" s="1480"/>
      <c r="J8" s="1480"/>
      <c r="K8" s="1480"/>
      <c r="L8" s="1480"/>
      <c r="M8" s="1480"/>
      <c r="N8" s="1480"/>
      <c r="O8" s="1480"/>
      <c r="P8" s="1480"/>
      <c r="Q8" s="1480"/>
      <c r="R8" s="1480"/>
      <c r="S8" s="1480"/>
      <c r="T8" s="1480"/>
      <c r="U8" s="1480"/>
      <c r="V8" s="1480"/>
      <c r="W8" s="1480"/>
      <c r="X8" s="1480"/>
      <c r="Y8" s="1480"/>
      <c r="Z8" s="1480"/>
      <c r="AA8" s="1480"/>
      <c r="AB8" s="1480"/>
      <c r="AC8" s="1480"/>
      <c r="AD8" s="1480"/>
      <c r="AE8" s="1480"/>
      <c r="AF8" s="1480"/>
      <c r="AG8" s="1480"/>
      <c r="AH8" s="1480"/>
      <c r="AI8" s="1480"/>
      <c r="AJ8" s="1480"/>
      <c r="AK8" s="1480"/>
      <c r="AL8" s="455"/>
    </row>
    <row r="9" spans="1:38">
      <c r="A9" s="204"/>
      <c r="B9" s="204"/>
      <c r="C9" s="205"/>
      <c r="D9" s="1480"/>
      <c r="E9" s="1480"/>
      <c r="F9" s="1480"/>
      <c r="G9" s="1480"/>
      <c r="H9" s="1480"/>
      <c r="I9" s="1480"/>
      <c r="J9" s="1480"/>
      <c r="K9" s="1480"/>
      <c r="L9" s="1480"/>
      <c r="M9" s="1480"/>
      <c r="N9" s="1480"/>
      <c r="O9" s="1480"/>
      <c r="P9" s="1480"/>
      <c r="Q9" s="1480"/>
      <c r="R9" s="1480"/>
      <c r="S9" s="1480"/>
      <c r="T9" s="1480"/>
      <c r="U9" s="1480"/>
      <c r="V9" s="1480"/>
      <c r="W9" s="1480"/>
      <c r="X9" s="1480"/>
      <c r="Y9" s="1480"/>
      <c r="Z9" s="1480"/>
      <c r="AA9" s="1480"/>
      <c r="AB9" s="1480"/>
      <c r="AC9" s="1480"/>
      <c r="AD9" s="1480"/>
      <c r="AE9" s="1480"/>
      <c r="AF9" s="1480"/>
      <c r="AG9" s="1480"/>
      <c r="AH9" s="1480"/>
      <c r="AI9" s="1480"/>
      <c r="AJ9" s="1480"/>
      <c r="AK9" s="1480"/>
      <c r="AL9" s="455"/>
    </row>
    <row r="10" spans="1:38">
      <c r="A10" s="204"/>
      <c r="B10" s="204"/>
      <c r="C10" s="205"/>
      <c r="D10" s="455"/>
      <c r="E10" s="455"/>
      <c r="F10" s="455"/>
      <c r="G10" s="455"/>
      <c r="H10" s="455"/>
      <c r="I10" s="455"/>
      <c r="J10" s="455"/>
      <c r="K10" s="455"/>
      <c r="L10" s="455"/>
      <c r="M10" s="455"/>
      <c r="N10" s="455"/>
      <c r="O10" s="455"/>
      <c r="P10" s="455"/>
      <c r="Q10" s="455"/>
      <c r="R10" s="455"/>
      <c r="S10" s="455"/>
      <c r="T10" s="455"/>
      <c r="U10" s="455"/>
      <c r="V10" s="455"/>
      <c r="W10" s="455"/>
      <c r="X10" s="455"/>
      <c r="Y10" s="455"/>
      <c r="Z10" s="455"/>
      <c r="AA10" s="455"/>
      <c r="AB10" s="455"/>
      <c r="AC10" s="455"/>
      <c r="AD10" s="455"/>
      <c r="AE10" s="455"/>
      <c r="AF10" s="455"/>
      <c r="AG10" s="455"/>
      <c r="AH10" s="455"/>
      <c r="AI10" s="455"/>
      <c r="AJ10" s="455"/>
      <c r="AK10" s="455"/>
      <c r="AL10" s="455"/>
    </row>
    <row r="11" spans="1:38" ht="12.95" customHeight="1">
      <c r="A11" s="204"/>
      <c r="B11" s="204"/>
      <c r="C11" s="205"/>
      <c r="D11" s="1480" t="s">
        <v>1994</v>
      </c>
      <c r="E11" s="1480"/>
      <c r="F11" s="1480"/>
      <c r="G11" s="1480"/>
      <c r="H11" s="1480"/>
      <c r="I11" s="1480"/>
      <c r="J11" s="1480"/>
      <c r="K11" s="1480"/>
      <c r="L11" s="1480"/>
      <c r="M11" s="1480"/>
      <c r="N11" s="1480"/>
      <c r="O11" s="1480"/>
      <c r="P11" s="1480"/>
      <c r="Q11" s="1480"/>
      <c r="R11" s="1480"/>
      <c r="S11" s="1480"/>
      <c r="T11" s="1480"/>
      <c r="U11" s="1480"/>
      <c r="V11" s="1480"/>
      <c r="W11" s="1480"/>
      <c r="X11" s="1480"/>
      <c r="Y11" s="1480"/>
      <c r="Z11" s="1480"/>
      <c r="AA11" s="1480"/>
      <c r="AB11" s="1480"/>
      <c r="AC11" s="1480"/>
      <c r="AD11" s="1480"/>
      <c r="AE11" s="1480"/>
      <c r="AF11" s="1480"/>
      <c r="AG11" s="1480"/>
      <c r="AH11" s="1480"/>
      <c r="AI11" s="1480"/>
      <c r="AJ11" s="1480"/>
      <c r="AK11" s="1480"/>
      <c r="AL11" s="455"/>
    </row>
    <row r="12" spans="1:38">
      <c r="A12" s="204"/>
      <c r="B12" s="204"/>
      <c r="C12" s="205"/>
      <c r="D12" s="1480"/>
      <c r="E12" s="1480"/>
      <c r="F12" s="1480"/>
      <c r="G12" s="1480"/>
      <c r="H12" s="1480"/>
      <c r="I12" s="1480"/>
      <c r="J12" s="1480"/>
      <c r="K12" s="1480"/>
      <c r="L12" s="1480"/>
      <c r="M12" s="1480"/>
      <c r="N12" s="1480"/>
      <c r="O12" s="1480"/>
      <c r="P12" s="1480"/>
      <c r="Q12" s="1480"/>
      <c r="R12" s="1480"/>
      <c r="S12" s="1480"/>
      <c r="T12" s="1480"/>
      <c r="U12" s="1480"/>
      <c r="V12" s="1480"/>
      <c r="W12" s="1480"/>
      <c r="X12" s="1480"/>
      <c r="Y12" s="1480"/>
      <c r="Z12" s="1480"/>
      <c r="AA12" s="1480"/>
      <c r="AB12" s="1480"/>
      <c r="AC12" s="1480"/>
      <c r="AD12" s="1480"/>
      <c r="AE12" s="1480"/>
      <c r="AF12" s="1480"/>
      <c r="AG12" s="1480"/>
      <c r="AH12" s="1480"/>
      <c r="AI12" s="1480"/>
      <c r="AJ12" s="1480"/>
      <c r="AK12" s="1480"/>
      <c r="AL12" s="455"/>
    </row>
    <row r="13" spans="1:38">
      <c r="A13" s="204"/>
      <c r="B13" s="204"/>
      <c r="C13" s="205"/>
      <c r="D13" s="1480"/>
      <c r="E13" s="1480"/>
      <c r="F13" s="1480"/>
      <c r="G13" s="1480"/>
      <c r="H13" s="1480"/>
      <c r="I13" s="1480"/>
      <c r="J13" s="1480"/>
      <c r="K13" s="1480"/>
      <c r="L13" s="1480"/>
      <c r="M13" s="1480"/>
      <c r="N13" s="1480"/>
      <c r="O13" s="1480"/>
      <c r="P13" s="1480"/>
      <c r="Q13" s="1480"/>
      <c r="R13" s="1480"/>
      <c r="S13" s="1480"/>
      <c r="T13" s="1480"/>
      <c r="U13" s="1480"/>
      <c r="V13" s="1480"/>
      <c r="W13" s="1480"/>
      <c r="X13" s="1480"/>
      <c r="Y13" s="1480"/>
      <c r="Z13" s="1480"/>
      <c r="AA13" s="1480"/>
      <c r="AB13" s="1480"/>
      <c r="AC13" s="1480"/>
      <c r="AD13" s="1480"/>
      <c r="AE13" s="1480"/>
      <c r="AF13" s="1480"/>
      <c r="AG13" s="1480"/>
      <c r="AH13" s="1480"/>
      <c r="AI13" s="1480"/>
      <c r="AJ13" s="1480"/>
      <c r="AK13" s="1480"/>
      <c r="AL13" s="455"/>
    </row>
    <row r="14" spans="1:38">
      <c r="A14" s="204"/>
      <c r="B14" s="204"/>
      <c r="C14" s="205"/>
      <c r="D14" s="441"/>
      <c r="E14" s="441"/>
      <c r="F14" s="441"/>
      <c r="G14" s="441"/>
      <c r="H14" s="441"/>
      <c r="I14" s="441"/>
      <c r="J14" s="441"/>
      <c r="K14" s="441"/>
      <c r="L14" s="441"/>
      <c r="M14" s="441"/>
      <c r="N14" s="441"/>
      <c r="O14" s="441"/>
      <c r="P14" s="441"/>
      <c r="Q14" s="441"/>
      <c r="R14" s="441"/>
      <c r="S14" s="441"/>
      <c r="T14" s="441"/>
      <c r="U14" s="441"/>
      <c r="V14" s="441"/>
      <c r="W14" s="441"/>
      <c r="X14" s="441"/>
      <c r="Y14" s="441"/>
      <c r="Z14" s="441"/>
      <c r="AA14" s="441"/>
      <c r="AB14" s="441"/>
      <c r="AC14" s="441"/>
      <c r="AD14" s="441"/>
      <c r="AE14" s="441"/>
      <c r="AF14" s="441"/>
      <c r="AG14" s="441"/>
      <c r="AH14" s="441"/>
      <c r="AI14" s="441"/>
      <c r="AJ14" s="441"/>
      <c r="AK14" s="441"/>
      <c r="AL14" s="455"/>
    </row>
    <row r="15" spans="1:38" ht="13.15" customHeight="1">
      <c r="A15" s="204"/>
      <c r="B15" s="204"/>
      <c r="C15" s="205"/>
      <c r="D15" s="1480" t="s">
        <v>2528</v>
      </c>
      <c r="E15" s="1480"/>
      <c r="F15" s="1480"/>
      <c r="G15" s="1480"/>
      <c r="H15" s="1480"/>
      <c r="I15" s="1480"/>
      <c r="J15" s="1480"/>
      <c r="K15" s="1480"/>
      <c r="L15" s="1480"/>
      <c r="M15" s="1480"/>
      <c r="N15" s="1480"/>
      <c r="O15" s="1480"/>
      <c r="P15" s="1480"/>
      <c r="Q15" s="1480"/>
      <c r="R15" s="1480"/>
      <c r="S15" s="1480"/>
      <c r="T15" s="1480"/>
      <c r="U15" s="1480"/>
      <c r="V15" s="1480"/>
      <c r="W15" s="1480"/>
      <c r="X15" s="1480"/>
      <c r="Y15" s="1480"/>
      <c r="Z15" s="1480"/>
      <c r="AA15" s="1480"/>
      <c r="AB15" s="1480"/>
      <c r="AC15" s="1480"/>
      <c r="AD15" s="1480"/>
      <c r="AE15" s="1480"/>
      <c r="AF15" s="1480"/>
      <c r="AG15" s="1480"/>
      <c r="AH15" s="1480"/>
      <c r="AI15" s="1480"/>
      <c r="AJ15" s="1480"/>
      <c r="AK15" s="1480"/>
      <c r="AL15" s="455"/>
    </row>
    <row r="16" spans="1:38" ht="13.15" customHeight="1">
      <c r="A16" s="204"/>
      <c r="B16" s="204"/>
      <c r="C16" s="205"/>
      <c r="D16" s="1480"/>
      <c r="E16" s="1480"/>
      <c r="F16" s="1480"/>
      <c r="G16" s="1480"/>
      <c r="H16" s="1480"/>
      <c r="I16" s="1480"/>
      <c r="J16" s="1480"/>
      <c r="K16" s="1480"/>
      <c r="L16" s="1480"/>
      <c r="M16" s="1480"/>
      <c r="N16" s="1480"/>
      <c r="O16" s="1480"/>
      <c r="P16" s="1480"/>
      <c r="Q16" s="1480"/>
      <c r="R16" s="1480"/>
      <c r="S16" s="1480"/>
      <c r="T16" s="1480"/>
      <c r="U16" s="1480"/>
      <c r="V16" s="1480"/>
      <c r="W16" s="1480"/>
      <c r="X16" s="1480"/>
      <c r="Y16" s="1480"/>
      <c r="Z16" s="1480"/>
      <c r="AA16" s="1480"/>
      <c r="AB16" s="1480"/>
      <c r="AC16" s="1480"/>
      <c r="AD16" s="1480"/>
      <c r="AE16" s="1480"/>
      <c r="AF16" s="1480"/>
      <c r="AG16" s="1480"/>
      <c r="AH16" s="1480"/>
      <c r="AI16" s="1480"/>
      <c r="AJ16" s="1480"/>
      <c r="AK16" s="1480"/>
      <c r="AL16" s="455"/>
    </row>
    <row r="17" spans="1:38">
      <c r="A17" s="204"/>
      <c r="B17" s="204"/>
      <c r="C17" s="205"/>
      <c r="D17" s="1480"/>
      <c r="E17" s="1480"/>
      <c r="F17" s="1480"/>
      <c r="G17" s="1480"/>
      <c r="H17" s="1480"/>
      <c r="I17" s="1480"/>
      <c r="J17" s="1480"/>
      <c r="K17" s="1480"/>
      <c r="L17" s="1480"/>
      <c r="M17" s="1480"/>
      <c r="N17" s="1480"/>
      <c r="O17" s="1480"/>
      <c r="P17" s="1480"/>
      <c r="Q17" s="1480"/>
      <c r="R17" s="1480"/>
      <c r="S17" s="1480"/>
      <c r="T17" s="1480"/>
      <c r="U17" s="1480"/>
      <c r="V17" s="1480"/>
      <c r="W17" s="1480"/>
      <c r="X17" s="1480"/>
      <c r="Y17" s="1480"/>
      <c r="Z17" s="1480"/>
      <c r="AA17" s="1480"/>
      <c r="AB17" s="1480"/>
      <c r="AC17" s="1480"/>
      <c r="AD17" s="1480"/>
      <c r="AE17" s="1480"/>
      <c r="AF17" s="1480"/>
      <c r="AG17" s="1480"/>
      <c r="AH17" s="1480"/>
      <c r="AI17" s="1480"/>
      <c r="AJ17" s="1480"/>
      <c r="AK17" s="1480"/>
      <c r="AL17" s="455"/>
    </row>
    <row r="18" spans="1:38">
      <c r="A18" s="204"/>
      <c r="B18" s="204"/>
      <c r="C18" s="205"/>
      <c r="D18" s="519" t="s">
        <v>2527</v>
      </c>
      <c r="E18" s="441"/>
      <c r="G18" s="441"/>
      <c r="H18" s="441"/>
      <c r="I18" s="441"/>
      <c r="J18" s="1807" t="s">
        <v>2526</v>
      </c>
      <c r="K18" s="1807"/>
      <c r="L18" s="1807"/>
      <c r="M18" s="1807"/>
      <c r="N18" s="1807"/>
      <c r="O18" s="1807"/>
      <c r="P18" s="1807"/>
      <c r="Q18" s="1807"/>
      <c r="R18" s="1807"/>
      <c r="S18" s="1807"/>
      <c r="T18" s="1807"/>
      <c r="U18" s="1807"/>
      <c r="V18" s="1807"/>
      <c r="W18" s="1807"/>
      <c r="X18" s="1807"/>
      <c r="Y18" s="1807"/>
      <c r="Z18" s="1807"/>
      <c r="AA18" s="1807"/>
      <c r="AB18" s="1807"/>
      <c r="AC18" s="1807"/>
      <c r="AD18" s="1807"/>
      <c r="AE18" s="1807"/>
      <c r="AF18" s="1807"/>
      <c r="AG18" s="1807"/>
      <c r="AH18" s="1807"/>
      <c r="AI18" s="1807"/>
      <c r="AJ18" s="1807"/>
      <c r="AK18" s="1807"/>
      <c r="AL18" s="455"/>
    </row>
    <row r="19" spans="1:38">
      <c r="A19" s="204"/>
      <c r="B19" s="204"/>
      <c r="C19" s="205"/>
      <c r="D19" s="441"/>
      <c r="E19" s="441"/>
      <c r="F19" s="1188"/>
      <c r="G19" s="441"/>
      <c r="H19" s="441"/>
      <c r="I19" s="441"/>
      <c r="J19" s="441"/>
      <c r="K19" s="441"/>
      <c r="L19" s="441"/>
      <c r="M19" s="441"/>
      <c r="N19" s="441"/>
      <c r="O19" s="441"/>
      <c r="P19" s="441"/>
      <c r="Q19" s="441"/>
      <c r="R19" s="441"/>
      <c r="S19" s="441"/>
      <c r="T19" s="441"/>
      <c r="U19" s="441"/>
      <c r="V19" s="441"/>
      <c r="W19" s="441"/>
      <c r="X19" s="441"/>
      <c r="Y19" s="441"/>
      <c r="Z19" s="441"/>
      <c r="AA19" s="441"/>
      <c r="AB19" s="441"/>
      <c r="AC19" s="441"/>
      <c r="AD19" s="441"/>
      <c r="AE19" s="441"/>
      <c r="AF19" s="441"/>
      <c r="AG19" s="441"/>
      <c r="AH19" s="441"/>
      <c r="AI19" s="441"/>
      <c r="AJ19" s="441"/>
      <c r="AK19" s="441"/>
      <c r="AL19" s="455"/>
    </row>
    <row r="20" spans="1:38" ht="13.15" customHeight="1">
      <c r="A20" s="204"/>
      <c r="B20" s="204"/>
      <c r="C20" s="205"/>
      <c r="D20" s="1480" t="s">
        <v>1995</v>
      </c>
      <c r="E20" s="1480"/>
      <c r="F20" s="1480"/>
      <c r="G20" s="1480"/>
      <c r="H20" s="1480"/>
      <c r="I20" s="1480"/>
      <c r="J20" s="1480"/>
      <c r="K20" s="1480"/>
      <c r="L20" s="1480"/>
      <c r="M20" s="1480"/>
      <c r="N20" s="1480"/>
      <c r="O20" s="1480"/>
      <c r="P20" s="1480"/>
      <c r="Q20" s="1480"/>
      <c r="R20" s="1480"/>
      <c r="S20" s="1480"/>
      <c r="T20" s="1480"/>
      <c r="U20" s="1480"/>
      <c r="V20" s="1480"/>
      <c r="W20" s="1480"/>
      <c r="X20" s="1480"/>
      <c r="Y20" s="1480"/>
      <c r="Z20" s="1480"/>
      <c r="AA20" s="1480"/>
      <c r="AB20" s="1480"/>
      <c r="AC20" s="1480"/>
      <c r="AD20" s="1480"/>
      <c r="AE20" s="1480"/>
      <c r="AF20" s="1480"/>
      <c r="AG20" s="1480"/>
      <c r="AH20" s="1480"/>
      <c r="AI20" s="1480"/>
      <c r="AJ20" s="1480"/>
      <c r="AK20" s="1480"/>
      <c r="AL20" s="204"/>
    </row>
    <row r="21" spans="1:38">
      <c r="A21" s="204"/>
      <c r="B21" s="204"/>
      <c r="C21" s="205"/>
      <c r="D21" s="1480"/>
      <c r="E21" s="1480"/>
      <c r="F21" s="1480"/>
      <c r="G21" s="1480"/>
      <c r="H21" s="1480"/>
      <c r="I21" s="1480"/>
      <c r="J21" s="1480"/>
      <c r="K21" s="1480"/>
      <c r="L21" s="1480"/>
      <c r="M21" s="1480"/>
      <c r="N21" s="1480"/>
      <c r="O21" s="1480"/>
      <c r="P21" s="1480"/>
      <c r="Q21" s="1480"/>
      <c r="R21" s="1480"/>
      <c r="S21" s="1480"/>
      <c r="T21" s="1480"/>
      <c r="U21" s="1480"/>
      <c r="V21" s="1480"/>
      <c r="W21" s="1480"/>
      <c r="X21" s="1480"/>
      <c r="Y21" s="1480"/>
      <c r="Z21" s="1480"/>
      <c r="AA21" s="1480"/>
      <c r="AB21" s="1480"/>
      <c r="AC21" s="1480"/>
      <c r="AD21" s="1480"/>
      <c r="AE21" s="1480"/>
      <c r="AF21" s="1480"/>
      <c r="AG21" s="1480"/>
      <c r="AH21" s="1480"/>
      <c r="AI21" s="1480"/>
      <c r="AJ21" s="1480"/>
      <c r="AK21" s="1480"/>
      <c r="AL21" s="204"/>
    </row>
    <row r="22" spans="1:38">
      <c r="A22" s="204"/>
      <c r="B22" s="204"/>
      <c r="C22" s="205"/>
      <c r="D22" s="1480"/>
      <c r="E22" s="1480"/>
      <c r="F22" s="1480"/>
      <c r="G22" s="1480"/>
      <c r="H22" s="1480"/>
      <c r="I22" s="1480"/>
      <c r="J22" s="1480"/>
      <c r="K22" s="1480"/>
      <c r="L22" s="1480"/>
      <c r="M22" s="1480"/>
      <c r="N22" s="1480"/>
      <c r="O22" s="1480"/>
      <c r="P22" s="1480"/>
      <c r="Q22" s="1480"/>
      <c r="R22" s="1480"/>
      <c r="S22" s="1480"/>
      <c r="T22" s="1480"/>
      <c r="U22" s="1480"/>
      <c r="V22" s="1480"/>
      <c r="W22" s="1480"/>
      <c r="X22" s="1480"/>
      <c r="Y22" s="1480"/>
      <c r="Z22" s="1480"/>
      <c r="AA22" s="1480"/>
      <c r="AB22" s="1480"/>
      <c r="AC22" s="1480"/>
      <c r="AD22" s="1480"/>
      <c r="AE22" s="1480"/>
      <c r="AF22" s="1480"/>
      <c r="AG22" s="1480"/>
      <c r="AH22" s="1480"/>
      <c r="AI22" s="1480"/>
      <c r="AJ22" s="1480"/>
      <c r="AK22" s="1480"/>
      <c r="AL22" s="204"/>
    </row>
    <row r="23" spans="1:38" ht="13.15" customHeight="1">
      <c r="A23" s="204"/>
      <c r="B23" s="204"/>
      <c r="C23" s="205"/>
      <c r="D23" s="1480"/>
      <c r="E23" s="1480"/>
      <c r="F23" s="1480"/>
      <c r="G23" s="1480"/>
      <c r="H23" s="1480"/>
      <c r="I23" s="1480"/>
      <c r="J23" s="1480"/>
      <c r="K23" s="1480"/>
      <c r="L23" s="1480"/>
      <c r="M23" s="1480"/>
      <c r="N23" s="1480"/>
      <c r="O23" s="1480"/>
      <c r="P23" s="1480"/>
      <c r="Q23" s="1480"/>
      <c r="R23" s="1480"/>
      <c r="S23" s="1480"/>
      <c r="T23" s="1480"/>
      <c r="U23" s="1480"/>
      <c r="V23" s="1480"/>
      <c r="W23" s="1480"/>
      <c r="X23" s="1480"/>
      <c r="Y23" s="1480"/>
      <c r="Z23" s="1480"/>
      <c r="AA23" s="1480"/>
      <c r="AB23" s="1480"/>
      <c r="AC23" s="1480"/>
      <c r="AD23" s="1480"/>
      <c r="AE23" s="1480"/>
      <c r="AF23" s="1480"/>
      <c r="AG23" s="1480"/>
      <c r="AH23" s="1480"/>
      <c r="AI23" s="1480"/>
      <c r="AJ23" s="1480"/>
      <c r="AK23" s="1480"/>
      <c r="AL23" s="204"/>
    </row>
    <row r="24" spans="1:38">
      <c r="A24" s="204"/>
      <c r="B24" s="204"/>
      <c r="C24" s="205"/>
      <c r="D24" s="1480"/>
      <c r="E24" s="1480"/>
      <c r="F24" s="1480"/>
      <c r="G24" s="1480"/>
      <c r="H24" s="1480"/>
      <c r="I24" s="1480"/>
      <c r="J24" s="1480"/>
      <c r="K24" s="1480"/>
      <c r="L24" s="1480"/>
      <c r="M24" s="1480"/>
      <c r="N24" s="1480"/>
      <c r="O24" s="1480"/>
      <c r="P24" s="1480"/>
      <c r="Q24" s="1480"/>
      <c r="R24" s="1480"/>
      <c r="S24" s="1480"/>
      <c r="T24" s="1480"/>
      <c r="U24" s="1480"/>
      <c r="V24" s="1480"/>
      <c r="W24" s="1480"/>
      <c r="X24" s="1480"/>
      <c r="Y24" s="1480"/>
      <c r="Z24" s="1480"/>
      <c r="AA24" s="1480"/>
      <c r="AB24" s="1480"/>
      <c r="AC24" s="1480"/>
      <c r="AD24" s="1480"/>
      <c r="AE24" s="1480"/>
      <c r="AF24" s="1480"/>
      <c r="AG24" s="1480"/>
      <c r="AH24" s="1480"/>
      <c r="AI24" s="1480"/>
      <c r="AJ24" s="1480"/>
      <c r="AK24" s="1480"/>
      <c r="AL24" s="204"/>
    </row>
    <row r="25" spans="1:38">
      <c r="A25" s="204"/>
      <c r="B25" s="204"/>
      <c r="C25" s="205"/>
      <c r="D25" s="1480"/>
      <c r="E25" s="1480"/>
      <c r="F25" s="1480"/>
      <c r="G25" s="1480"/>
      <c r="H25" s="1480"/>
      <c r="I25" s="1480"/>
      <c r="J25" s="1480"/>
      <c r="K25" s="1480"/>
      <c r="L25" s="1480"/>
      <c r="M25" s="1480"/>
      <c r="N25" s="1480"/>
      <c r="O25" s="1480"/>
      <c r="P25" s="1480"/>
      <c r="Q25" s="1480"/>
      <c r="R25" s="1480"/>
      <c r="S25" s="1480"/>
      <c r="T25" s="1480"/>
      <c r="U25" s="1480"/>
      <c r="V25" s="1480"/>
      <c r="W25" s="1480"/>
      <c r="X25" s="1480"/>
      <c r="Y25" s="1480"/>
      <c r="Z25" s="1480"/>
      <c r="AA25" s="1480"/>
      <c r="AB25" s="1480"/>
      <c r="AC25" s="1480"/>
      <c r="AD25" s="1480"/>
      <c r="AE25" s="1480"/>
      <c r="AF25" s="1480"/>
      <c r="AG25" s="1480"/>
      <c r="AH25" s="1480"/>
      <c r="AI25" s="1480"/>
      <c r="AJ25" s="1480"/>
      <c r="AK25" s="1480"/>
      <c r="AL25" s="204"/>
    </row>
    <row r="26" spans="1:38">
      <c r="A26" s="204"/>
      <c r="B26" s="204"/>
      <c r="C26" s="205"/>
      <c r="D26" s="1480"/>
      <c r="E26" s="1480"/>
      <c r="F26" s="1480"/>
      <c r="G26" s="1480"/>
      <c r="H26" s="1480"/>
      <c r="I26" s="1480"/>
      <c r="J26" s="1480"/>
      <c r="K26" s="1480"/>
      <c r="L26" s="1480"/>
      <c r="M26" s="1480"/>
      <c r="N26" s="1480"/>
      <c r="O26" s="1480"/>
      <c r="P26" s="1480"/>
      <c r="Q26" s="1480"/>
      <c r="R26" s="1480"/>
      <c r="S26" s="1480"/>
      <c r="T26" s="1480"/>
      <c r="U26" s="1480"/>
      <c r="V26" s="1480"/>
      <c r="W26" s="1480"/>
      <c r="X26" s="1480"/>
      <c r="Y26" s="1480"/>
      <c r="Z26" s="1480"/>
      <c r="AA26" s="1480"/>
      <c r="AB26" s="1480"/>
      <c r="AC26" s="1480"/>
      <c r="AD26" s="1480"/>
      <c r="AE26" s="1480"/>
      <c r="AF26" s="1480"/>
      <c r="AG26" s="1480"/>
      <c r="AH26" s="1480"/>
      <c r="AI26" s="1480"/>
      <c r="AJ26" s="1480"/>
      <c r="AK26" s="1480"/>
      <c r="AL26" s="204"/>
    </row>
    <row r="27" spans="1:38">
      <c r="A27" s="204"/>
      <c r="B27" s="204"/>
      <c r="C27" s="205"/>
      <c r="D27" s="1480"/>
      <c r="E27" s="1480"/>
      <c r="F27" s="1480"/>
      <c r="G27" s="1480"/>
      <c r="H27" s="1480"/>
      <c r="I27" s="1480"/>
      <c r="J27" s="1480"/>
      <c r="K27" s="1480"/>
      <c r="L27" s="1480"/>
      <c r="M27" s="1480"/>
      <c r="N27" s="1480"/>
      <c r="O27" s="1480"/>
      <c r="P27" s="1480"/>
      <c r="Q27" s="1480"/>
      <c r="R27" s="1480"/>
      <c r="S27" s="1480"/>
      <c r="T27" s="1480"/>
      <c r="U27" s="1480"/>
      <c r="V27" s="1480"/>
      <c r="W27" s="1480"/>
      <c r="X27" s="1480"/>
      <c r="Y27" s="1480"/>
      <c r="Z27" s="1480"/>
      <c r="AA27" s="1480"/>
      <c r="AB27" s="1480"/>
      <c r="AC27" s="1480"/>
      <c r="AD27" s="1480"/>
      <c r="AE27" s="1480"/>
      <c r="AF27" s="1480"/>
      <c r="AG27" s="1480"/>
      <c r="AH27" s="1480"/>
      <c r="AI27" s="1480"/>
      <c r="AJ27" s="1480"/>
      <c r="AK27" s="1480"/>
      <c r="AL27" s="204"/>
    </row>
    <row r="28" spans="1:38">
      <c r="A28" s="204"/>
      <c r="B28" s="204"/>
      <c r="C28" s="205"/>
      <c r="D28" s="1480"/>
      <c r="E28" s="1480"/>
      <c r="F28" s="1480"/>
      <c r="G28" s="1480"/>
      <c r="H28" s="1480"/>
      <c r="I28" s="1480"/>
      <c r="J28" s="1480"/>
      <c r="K28" s="1480"/>
      <c r="L28" s="1480"/>
      <c r="M28" s="1480"/>
      <c r="N28" s="1480"/>
      <c r="O28" s="1480"/>
      <c r="P28" s="1480"/>
      <c r="Q28" s="1480"/>
      <c r="R28" s="1480"/>
      <c r="S28" s="1480"/>
      <c r="T28" s="1480"/>
      <c r="U28" s="1480"/>
      <c r="V28" s="1480"/>
      <c r="W28" s="1480"/>
      <c r="X28" s="1480"/>
      <c r="Y28" s="1480"/>
      <c r="Z28" s="1480"/>
      <c r="AA28" s="1480"/>
      <c r="AB28" s="1480"/>
      <c r="AC28" s="1480"/>
      <c r="AD28" s="1480"/>
      <c r="AE28" s="1480"/>
      <c r="AF28" s="1480"/>
      <c r="AG28" s="1480"/>
      <c r="AH28" s="1480"/>
      <c r="AI28" s="1480"/>
      <c r="AJ28" s="1480"/>
      <c r="AK28" s="1480"/>
      <c r="AL28" s="204"/>
    </row>
    <row r="29" spans="1:38">
      <c r="A29" s="204"/>
      <c r="B29" s="204"/>
      <c r="C29" s="205"/>
      <c r="D29" s="441"/>
      <c r="E29" s="441"/>
      <c r="F29" s="441"/>
      <c r="G29" s="441"/>
      <c r="H29" s="441"/>
      <c r="I29" s="441"/>
      <c r="J29" s="441"/>
      <c r="K29" s="441"/>
      <c r="L29" s="441"/>
      <c r="M29" s="441"/>
      <c r="N29" s="441"/>
      <c r="O29" s="441"/>
      <c r="P29" s="441"/>
      <c r="Q29" s="441"/>
      <c r="R29" s="441"/>
      <c r="S29" s="441"/>
      <c r="T29" s="441"/>
      <c r="U29" s="441"/>
      <c r="V29" s="441"/>
      <c r="W29" s="441"/>
      <c r="X29" s="441"/>
      <c r="Y29" s="441"/>
      <c r="Z29" s="441"/>
      <c r="AA29" s="441"/>
      <c r="AB29" s="441"/>
      <c r="AC29" s="441"/>
      <c r="AD29" s="441"/>
      <c r="AE29" s="441"/>
      <c r="AF29" s="441"/>
      <c r="AG29" s="441"/>
      <c r="AH29" s="441"/>
      <c r="AI29" s="441"/>
      <c r="AJ29" s="441"/>
      <c r="AK29" s="441"/>
      <c r="AL29" s="204"/>
    </row>
    <row r="30" spans="1:38" ht="13.15" customHeight="1">
      <c r="A30" s="204"/>
      <c r="B30" s="204"/>
      <c r="C30" s="205"/>
      <c r="D30" s="1480" t="s">
        <v>1996</v>
      </c>
      <c r="E30" s="1480"/>
      <c r="F30" s="1480"/>
      <c r="G30" s="1480"/>
      <c r="H30" s="1480"/>
      <c r="I30" s="1480"/>
      <c r="J30" s="1480"/>
      <c r="K30" s="1480"/>
      <c r="L30" s="1480"/>
      <c r="M30" s="1480"/>
      <c r="N30" s="1480"/>
      <c r="O30" s="1480"/>
      <c r="P30" s="1480"/>
      <c r="Q30" s="1480"/>
      <c r="R30" s="1480"/>
      <c r="S30" s="1480"/>
      <c r="T30" s="1480"/>
      <c r="U30" s="1480"/>
      <c r="V30" s="1480"/>
      <c r="W30" s="1480"/>
      <c r="X30" s="1480"/>
      <c r="Y30" s="1480"/>
      <c r="Z30" s="1480"/>
      <c r="AA30" s="1480"/>
      <c r="AB30" s="1480"/>
      <c r="AC30" s="1480"/>
      <c r="AD30" s="1480"/>
      <c r="AE30" s="1480"/>
      <c r="AF30" s="1480"/>
      <c r="AG30" s="1480"/>
      <c r="AH30" s="1480"/>
      <c r="AI30" s="1480"/>
      <c r="AJ30" s="1480"/>
      <c r="AK30" s="1480"/>
      <c r="AL30" s="204"/>
    </row>
    <row r="31" spans="1:38">
      <c r="A31" s="204"/>
      <c r="B31" s="204"/>
      <c r="C31" s="205"/>
      <c r="D31" s="455"/>
      <c r="E31" s="1797" t="s">
        <v>2602</v>
      </c>
      <c r="F31" s="1798"/>
      <c r="G31" s="1798"/>
      <c r="H31" s="1798"/>
      <c r="I31" s="1798"/>
      <c r="J31" s="1798"/>
      <c r="K31" s="1798"/>
      <c r="L31" s="1798"/>
      <c r="M31" s="1798"/>
      <c r="N31" s="1798"/>
      <c r="O31" s="1798"/>
      <c r="P31" s="1798"/>
      <c r="Q31" s="1798"/>
      <c r="R31" s="1798"/>
      <c r="S31" s="1798"/>
      <c r="T31" s="1798"/>
      <c r="U31" s="1798"/>
      <c r="V31" s="1798"/>
      <c r="W31" s="1798"/>
      <c r="X31" s="1798"/>
      <c r="Y31" s="1798"/>
      <c r="Z31" s="1798"/>
      <c r="AA31" s="1798"/>
      <c r="AB31" s="1798"/>
      <c r="AC31" s="1798"/>
      <c r="AD31" s="1798"/>
      <c r="AE31" s="1798"/>
      <c r="AF31" s="1798"/>
      <c r="AG31" s="1798"/>
      <c r="AH31" s="1798"/>
      <c r="AI31" s="1798"/>
      <c r="AJ31" s="1798"/>
      <c r="AK31" s="1798"/>
      <c r="AL31" s="204"/>
    </row>
    <row r="32" spans="1:38">
      <c r="A32" s="4"/>
      <c r="C32" s="2"/>
    </row>
    <row r="33" spans="1:38">
      <c r="A33" s="4"/>
      <c r="D33" s="1806" t="s">
        <v>2096</v>
      </c>
      <c r="E33" s="1806"/>
      <c r="F33" s="1806"/>
      <c r="G33" s="1806"/>
      <c r="H33" s="1806"/>
      <c r="I33" s="1806"/>
      <c r="J33" s="1806"/>
      <c r="K33" s="1806"/>
      <c r="L33" s="1806"/>
      <c r="M33" s="1806"/>
      <c r="N33" s="1806"/>
      <c r="O33" s="1806"/>
      <c r="P33" s="1806"/>
      <c r="Q33" s="1806"/>
      <c r="R33" s="1806"/>
      <c r="S33" s="1806"/>
      <c r="T33" s="1806"/>
      <c r="U33" s="1806"/>
      <c r="V33" s="1806"/>
      <c r="W33" s="1806"/>
      <c r="X33" s="1806"/>
      <c r="Y33" s="1806"/>
      <c r="Z33" s="1806"/>
      <c r="AA33" s="1806"/>
      <c r="AB33" s="1806"/>
      <c r="AC33" s="1806"/>
      <c r="AD33" s="1806"/>
      <c r="AE33" s="1806"/>
      <c r="AF33" s="1806"/>
      <c r="AG33" s="1806"/>
      <c r="AH33" s="1806"/>
      <c r="AI33" s="1806"/>
      <c r="AJ33" s="1806"/>
      <c r="AK33" s="1806"/>
    </row>
    <row r="34" spans="1:38">
      <c r="A34" s="4"/>
      <c r="D34" s="1806"/>
      <c r="E34" s="1806"/>
      <c r="F34" s="1806"/>
      <c r="G34" s="1806"/>
      <c r="H34" s="1806"/>
      <c r="I34" s="1806"/>
      <c r="J34" s="1806"/>
      <c r="K34" s="1806"/>
      <c r="L34" s="1806"/>
      <c r="M34" s="1806"/>
      <c r="N34" s="1806"/>
      <c r="O34" s="1806"/>
      <c r="P34" s="1806"/>
      <c r="Q34" s="1806"/>
      <c r="R34" s="1806"/>
      <c r="S34" s="1806"/>
      <c r="T34" s="1806"/>
      <c r="U34" s="1806"/>
      <c r="V34" s="1806"/>
      <c r="W34" s="1806"/>
      <c r="X34" s="1806"/>
      <c r="Y34" s="1806"/>
      <c r="Z34" s="1806"/>
      <c r="AA34" s="1806"/>
      <c r="AB34" s="1806"/>
      <c r="AC34" s="1806"/>
      <c r="AD34" s="1806"/>
      <c r="AE34" s="1806"/>
      <c r="AF34" s="1806"/>
      <c r="AG34" s="1806"/>
      <c r="AH34" s="1806"/>
      <c r="AI34" s="1806"/>
      <c r="AJ34" s="1806"/>
      <c r="AK34" s="1806"/>
    </row>
    <row r="35" spans="1:38">
      <c r="A35" s="4"/>
      <c r="D35" s="120"/>
      <c r="E35" s="1802" t="s">
        <v>2603</v>
      </c>
      <c r="F35" s="1802"/>
      <c r="G35" s="1802"/>
      <c r="H35" s="1802"/>
      <c r="I35" s="1802"/>
      <c r="J35" s="1802"/>
      <c r="K35" s="1802"/>
      <c r="L35" s="1802"/>
      <c r="M35" s="1802"/>
      <c r="N35" s="1802"/>
      <c r="O35" s="1802"/>
      <c r="P35" s="1802"/>
      <c r="Q35" s="1802"/>
      <c r="R35" s="1802"/>
      <c r="S35" s="1802"/>
      <c r="T35" s="1802"/>
      <c r="U35" s="1802"/>
      <c r="V35" s="1802"/>
      <c r="W35" s="1802"/>
      <c r="X35" s="1802"/>
      <c r="Y35" s="1802"/>
      <c r="Z35" s="1802"/>
      <c r="AA35" s="1802"/>
      <c r="AB35" s="1802"/>
      <c r="AC35" s="1802"/>
      <c r="AD35" s="1802"/>
      <c r="AE35" s="1802"/>
      <c r="AF35" s="1802"/>
      <c r="AG35" s="1802"/>
      <c r="AH35" s="1802"/>
      <c r="AI35" s="1802"/>
      <c r="AJ35" s="1802"/>
      <c r="AK35" s="1802"/>
    </row>
    <row r="36" spans="1:38">
      <c r="A36" s="4"/>
      <c r="D36" s="120"/>
      <c r="E36" s="1802" t="s">
        <v>2604</v>
      </c>
      <c r="F36" s="1802"/>
      <c r="G36" s="1802"/>
      <c r="H36" s="1802"/>
      <c r="I36" s="1802"/>
      <c r="J36" s="1802"/>
      <c r="K36" s="1802"/>
      <c r="L36" s="1802"/>
      <c r="M36" s="1802"/>
      <c r="N36" s="1802"/>
      <c r="O36" s="1802"/>
      <c r="P36" s="1802"/>
      <c r="Q36" s="1802"/>
      <c r="R36" s="1802"/>
      <c r="S36" s="1802"/>
      <c r="T36" s="1802"/>
      <c r="U36" s="1802"/>
      <c r="V36" s="1802"/>
      <c r="W36" s="1802"/>
      <c r="X36" s="1802"/>
      <c r="Y36" s="1802"/>
      <c r="Z36" s="1802"/>
      <c r="AA36" s="1802"/>
      <c r="AB36" s="1802"/>
      <c r="AC36" s="1802"/>
      <c r="AD36" s="1802"/>
      <c r="AE36" s="1802"/>
      <c r="AF36" s="1802"/>
      <c r="AG36" s="1802"/>
      <c r="AH36" s="1802"/>
      <c r="AI36" s="1802"/>
      <c r="AJ36" s="1802"/>
      <c r="AK36" s="1802"/>
    </row>
    <row r="37" spans="1:38">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c r="A38" s="4"/>
      <c r="C38" s="2" t="s">
        <v>341</v>
      </c>
      <c r="D38" s="2" t="s">
        <v>737</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738</v>
      </c>
      <c r="F39" s="4"/>
      <c r="G39" s="4"/>
      <c r="H39" s="4"/>
      <c r="I39" s="4"/>
      <c r="J39" s="4"/>
      <c r="K39" s="4"/>
      <c r="L39" s="4"/>
      <c r="M39" s="4"/>
      <c r="N39" s="4"/>
      <c r="O39" s="4"/>
      <c r="P39" s="4"/>
      <c r="Q39" s="4"/>
      <c r="R39" s="4"/>
      <c r="S39" s="4"/>
      <c r="T39" s="4"/>
      <c r="U39" s="4"/>
      <c r="V39" s="4"/>
      <c r="W39" s="4"/>
      <c r="X39" s="4"/>
      <c r="Y39" s="4"/>
      <c r="Z39" s="4"/>
      <c r="AA39" s="4"/>
      <c r="AB39" s="4"/>
    </row>
    <row r="40" spans="1:38" s="1480" customFormat="1" ht="13.15" customHeight="1">
      <c r="A40" s="4"/>
      <c r="B40"/>
      <c r="C40" s="2"/>
      <c r="D40" s="4"/>
      <c r="E40" s="4" t="s">
        <v>653</v>
      </c>
      <c r="F40" s="1480" t="s">
        <v>1164</v>
      </c>
    </row>
    <row r="41" spans="1:38" s="1480" customFormat="1" ht="13.15" customHeight="1">
      <c r="A41" s="4"/>
      <c r="B41"/>
      <c r="C41" s="2"/>
      <c r="D41" s="4"/>
      <c r="E41" s="4"/>
    </row>
    <row r="42" spans="1:38">
      <c r="A42" s="4"/>
      <c r="C42" s="2"/>
      <c r="D42" s="4"/>
      <c r="E42" s="4"/>
      <c r="F42" s="35" t="s">
        <v>687</v>
      </c>
      <c r="G42" s="4" t="s">
        <v>176</v>
      </c>
      <c r="H42" s="455"/>
      <c r="I42" s="455"/>
      <c r="J42" s="455"/>
      <c r="K42" s="455"/>
      <c r="L42" s="455"/>
      <c r="M42" s="455"/>
      <c r="N42" s="455"/>
      <c r="O42" s="455"/>
      <c r="P42" s="455"/>
      <c r="Q42" s="455"/>
      <c r="R42" s="455"/>
      <c r="S42" s="455"/>
      <c r="T42" s="455"/>
      <c r="U42" s="455"/>
      <c r="V42" s="455"/>
      <c r="W42" s="455"/>
      <c r="X42" s="455"/>
      <c r="Y42" s="455"/>
      <c r="Z42" s="455"/>
      <c r="AA42" s="455"/>
      <c r="AB42" s="455"/>
      <c r="AC42" s="455"/>
      <c r="AD42" s="455"/>
      <c r="AE42" s="455"/>
      <c r="AF42" s="455"/>
      <c r="AG42" s="455"/>
      <c r="AH42" s="455"/>
      <c r="AI42" s="455"/>
      <c r="AJ42" s="455"/>
      <c r="AK42" s="455"/>
    </row>
    <row r="43" spans="1:38" s="118" customFormat="1" ht="13.15" customHeight="1">
      <c r="A43" s="4"/>
      <c r="B43"/>
      <c r="C43" s="2"/>
      <c r="D43" s="4"/>
      <c r="E43" s="3" t="s">
        <v>348</v>
      </c>
      <c r="F43" s="1502" t="s">
        <v>1246</v>
      </c>
      <c r="G43" s="1502"/>
      <c r="H43" s="1502"/>
      <c r="I43" s="1502"/>
      <c r="J43" s="1502"/>
      <c r="K43" s="1502"/>
      <c r="L43" s="1502"/>
      <c r="M43" s="1502"/>
      <c r="N43" s="1502"/>
      <c r="O43" s="1502"/>
      <c r="P43" s="1502"/>
      <c r="Q43" s="1502"/>
      <c r="R43" s="1502"/>
      <c r="S43" s="1502"/>
      <c r="T43" s="1502"/>
      <c r="U43" s="1502"/>
      <c r="V43" s="1502"/>
      <c r="W43" s="1502"/>
      <c r="X43" s="1502"/>
      <c r="Y43" s="1502"/>
      <c r="Z43" s="1502"/>
      <c r="AA43" s="1502"/>
      <c r="AB43" s="1502"/>
      <c r="AC43" s="1502"/>
      <c r="AD43" s="1502"/>
      <c r="AE43" s="1502"/>
      <c r="AF43" s="1502"/>
      <c r="AG43" s="1502"/>
      <c r="AH43" s="1502"/>
      <c r="AI43" s="1502"/>
      <c r="AJ43" s="1502"/>
      <c r="AK43" s="1502"/>
      <c r="AL43" s="1502"/>
    </row>
    <row r="44" spans="1:38" s="118" customFormat="1">
      <c r="A44" s="4"/>
      <c r="B44"/>
      <c r="C44" s="2"/>
      <c r="D44" s="4"/>
      <c r="E44" s="4"/>
      <c r="F44" s="1502"/>
      <c r="G44" s="1502"/>
      <c r="H44" s="1502"/>
      <c r="I44" s="1502"/>
      <c r="J44" s="1502"/>
      <c r="K44" s="1502"/>
      <c r="L44" s="1502"/>
      <c r="M44" s="1502"/>
      <c r="N44" s="1502"/>
      <c r="O44" s="1502"/>
      <c r="P44" s="1502"/>
      <c r="Q44" s="1502"/>
      <c r="R44" s="1502"/>
      <c r="S44" s="1502"/>
      <c r="T44" s="1502"/>
      <c r="U44" s="1502"/>
      <c r="V44" s="1502"/>
      <c r="W44" s="1502"/>
      <c r="X44" s="1502"/>
      <c r="Y44" s="1502"/>
      <c r="Z44" s="1502"/>
      <c r="AA44" s="1502"/>
      <c r="AB44" s="1502"/>
      <c r="AC44" s="1502"/>
      <c r="AD44" s="1502"/>
      <c r="AE44" s="1502"/>
      <c r="AF44" s="1502"/>
      <c r="AG44" s="1502"/>
      <c r="AH44" s="1502"/>
      <c r="AI44" s="1502"/>
      <c r="AJ44" s="1502"/>
      <c r="AK44" s="1502"/>
      <c r="AL44" s="1502"/>
    </row>
    <row r="45" spans="1:38" s="118" customFormat="1" ht="13.15" customHeight="1">
      <c r="A45" s="4"/>
      <c r="B45"/>
      <c r="C45" s="2"/>
      <c r="D45" s="4"/>
      <c r="E45" s="4"/>
      <c r="F45" s="1502"/>
      <c r="G45" s="1502"/>
      <c r="H45" s="1502"/>
      <c r="I45" s="1502"/>
      <c r="J45" s="1502"/>
      <c r="K45" s="1502"/>
      <c r="L45" s="1502"/>
      <c r="M45" s="1502"/>
      <c r="N45" s="1502"/>
      <c r="O45" s="1502"/>
      <c r="P45" s="1502"/>
      <c r="Q45" s="1502"/>
      <c r="R45" s="1502"/>
      <c r="S45" s="1502"/>
      <c r="T45" s="1502"/>
      <c r="U45" s="1502"/>
      <c r="V45" s="1502"/>
      <c r="W45" s="1502"/>
      <c r="X45" s="1502"/>
      <c r="Y45" s="1502"/>
      <c r="Z45" s="1502"/>
      <c r="AA45" s="1502"/>
      <c r="AB45" s="1502"/>
      <c r="AC45" s="1502"/>
      <c r="AD45" s="1502"/>
      <c r="AE45" s="1502"/>
      <c r="AF45" s="1502"/>
      <c r="AG45" s="1502"/>
      <c r="AH45" s="1502"/>
      <c r="AI45" s="1502"/>
      <c r="AJ45" s="1502"/>
      <c r="AK45" s="1502"/>
      <c r="AL45" s="1502"/>
    </row>
    <row r="46" spans="1:38">
      <c r="A46" s="4"/>
      <c r="C46" s="2"/>
      <c r="D46" s="4"/>
      <c r="E46" s="4"/>
      <c r="F46" s="118" t="s">
        <v>687</v>
      </c>
      <c r="G46" s="3" t="s">
        <v>1997</v>
      </c>
      <c r="H46" s="477"/>
      <c r="I46" s="477"/>
      <c r="J46" s="477"/>
      <c r="K46" s="477"/>
      <c r="L46" s="477"/>
      <c r="M46" s="477"/>
      <c r="N46" s="477"/>
      <c r="O46" s="477"/>
      <c r="P46" s="477"/>
      <c r="Q46" s="477"/>
      <c r="R46" s="477"/>
      <c r="S46" s="477"/>
      <c r="T46" s="477"/>
      <c r="U46" s="477"/>
      <c r="V46" s="477"/>
      <c r="W46" s="477"/>
      <c r="X46" s="477"/>
      <c r="Y46" s="477"/>
      <c r="Z46" s="477"/>
      <c r="AA46" s="477"/>
      <c r="AB46" s="477"/>
      <c r="AC46" s="477"/>
      <c r="AD46" s="477"/>
      <c r="AE46" s="477"/>
      <c r="AF46" s="477"/>
      <c r="AG46" s="477"/>
      <c r="AH46" s="477"/>
      <c r="AI46" s="477"/>
      <c r="AJ46" s="477"/>
      <c r="AK46" s="477"/>
      <c r="AL46" s="477"/>
    </row>
    <row r="47" spans="1:38">
      <c r="A47" s="4"/>
      <c r="C47" s="2"/>
      <c r="D47" s="4"/>
      <c r="E47" s="4"/>
      <c r="F47" s="35" t="s">
        <v>509</v>
      </c>
      <c r="G47" s="4" t="s">
        <v>547</v>
      </c>
      <c r="I47" s="4"/>
      <c r="J47" s="4"/>
      <c r="K47" s="4"/>
      <c r="L47" s="4"/>
      <c r="O47" s="4"/>
      <c r="P47" s="4"/>
      <c r="Q47" s="4"/>
      <c r="R47" s="4"/>
      <c r="S47" s="4"/>
      <c r="T47" s="4"/>
      <c r="U47" s="4"/>
      <c r="V47" s="4"/>
      <c r="W47" s="4"/>
      <c r="X47" s="4"/>
      <c r="Y47" s="4"/>
      <c r="Z47" s="4"/>
      <c r="AA47" s="4"/>
      <c r="AB47" s="4"/>
    </row>
    <row r="48" spans="1:38">
      <c r="A48" s="4"/>
      <c r="C48" s="2"/>
      <c r="D48" s="4"/>
      <c r="E48" s="3" t="s">
        <v>349</v>
      </c>
      <c r="F48" s="1480" t="s">
        <v>1998</v>
      </c>
      <c r="G48" s="1480"/>
      <c r="H48" s="1480"/>
      <c r="I48" s="1480"/>
      <c r="J48" s="1480"/>
      <c r="K48" s="1480"/>
      <c r="L48" s="1480"/>
      <c r="M48" s="1480"/>
      <c r="N48" s="1480"/>
      <c r="O48" s="1480"/>
      <c r="P48" s="1480"/>
      <c r="Q48" s="1480"/>
      <c r="R48" s="1480"/>
      <c r="S48" s="1480"/>
      <c r="T48" s="1480"/>
      <c r="U48" s="1480"/>
      <c r="V48" s="1480"/>
      <c r="W48" s="1480"/>
      <c r="X48" s="1480"/>
      <c r="Y48" s="1480"/>
      <c r="Z48" s="1480"/>
      <c r="AA48" s="1480"/>
      <c r="AB48" s="1480"/>
      <c r="AC48" s="1480"/>
      <c r="AD48" s="1480"/>
      <c r="AE48" s="1480"/>
      <c r="AF48" s="1480"/>
      <c r="AG48" s="1480"/>
      <c r="AH48" s="1480"/>
      <c r="AI48" s="1480"/>
      <c r="AJ48" s="1480"/>
      <c r="AK48" s="1480"/>
    </row>
    <row r="49" spans="1:38">
      <c r="A49" s="4"/>
      <c r="C49" s="2"/>
      <c r="D49" s="4"/>
      <c r="E49" s="4"/>
      <c r="F49" s="1480"/>
      <c r="G49" s="1480"/>
      <c r="H49" s="1480"/>
      <c r="I49" s="1480"/>
      <c r="J49" s="1480"/>
      <c r="K49" s="1480"/>
      <c r="L49" s="1480"/>
      <c r="M49" s="1480"/>
      <c r="N49" s="1480"/>
      <c r="O49" s="1480"/>
      <c r="P49" s="1480"/>
      <c r="Q49" s="1480"/>
      <c r="R49" s="1480"/>
      <c r="S49" s="1480"/>
      <c r="T49" s="1480"/>
      <c r="U49" s="1480"/>
      <c r="V49" s="1480"/>
      <c r="W49" s="1480"/>
      <c r="X49" s="1480"/>
      <c r="Y49" s="1480"/>
      <c r="Z49" s="1480"/>
      <c r="AA49" s="1480"/>
      <c r="AB49" s="1480"/>
      <c r="AC49" s="1480"/>
      <c r="AD49" s="1480"/>
      <c r="AE49" s="1480"/>
      <c r="AF49" s="1480"/>
      <c r="AG49" s="1480"/>
      <c r="AH49" s="1480"/>
      <c r="AI49" s="1480"/>
      <c r="AJ49" s="1480"/>
      <c r="AK49" s="1480"/>
    </row>
    <row r="50" spans="1:38">
      <c r="A50" s="4"/>
      <c r="C50" s="2"/>
      <c r="D50" s="4"/>
      <c r="F50" s="1480"/>
      <c r="G50" s="1480"/>
      <c r="H50" s="1480"/>
      <c r="I50" s="1480"/>
      <c r="J50" s="1480"/>
      <c r="K50" s="1480"/>
      <c r="L50" s="1480"/>
      <c r="M50" s="1480"/>
      <c r="N50" s="1480"/>
      <c r="O50" s="1480"/>
      <c r="P50" s="1480"/>
      <c r="Q50" s="1480"/>
      <c r="R50" s="1480"/>
      <c r="S50" s="1480"/>
      <c r="T50" s="1480"/>
      <c r="U50" s="1480"/>
      <c r="V50" s="1480"/>
      <c r="W50" s="1480"/>
      <c r="X50" s="1480"/>
      <c r="Y50" s="1480"/>
      <c r="Z50" s="1480"/>
      <c r="AA50" s="1480"/>
      <c r="AB50" s="1480"/>
      <c r="AC50" s="1480"/>
      <c r="AD50" s="1480"/>
      <c r="AE50" s="1480"/>
      <c r="AF50" s="1480"/>
      <c r="AG50" s="1480"/>
      <c r="AH50" s="1480"/>
      <c r="AI50" s="1480"/>
      <c r="AJ50" s="1480"/>
      <c r="AK50" s="1480"/>
    </row>
    <row r="51" spans="1:38">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c r="A52" s="4"/>
      <c r="C52" s="2"/>
      <c r="D52" s="4" t="s">
        <v>113</v>
      </c>
      <c r="E52" s="4" t="s">
        <v>651</v>
      </c>
      <c r="F52" s="4"/>
      <c r="G52" s="4"/>
      <c r="H52" s="4"/>
      <c r="I52" s="4"/>
      <c r="J52" s="171"/>
      <c r="K52" s="171"/>
      <c r="L52" s="171"/>
      <c r="M52" s="171"/>
      <c r="N52" s="171"/>
      <c r="O52" s="120"/>
      <c r="P52" s="120"/>
      <c r="Q52" s="120"/>
      <c r="R52" s="120"/>
      <c r="S52" s="120"/>
      <c r="T52" s="120"/>
      <c r="U52" s="4"/>
      <c r="V52" s="4"/>
      <c r="W52" s="4"/>
      <c r="X52" s="4"/>
      <c r="Y52" s="4"/>
      <c r="Z52" s="4"/>
      <c r="AA52" s="4"/>
      <c r="AB52" s="4"/>
    </row>
    <row r="53" spans="1:38">
      <c r="A53" s="4"/>
      <c r="C53" s="2"/>
      <c r="D53" s="2"/>
      <c r="E53" s="4" t="s">
        <v>653</v>
      </c>
      <c r="F53" s="3" t="s">
        <v>1192</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15" customHeight="1">
      <c r="A54" s="204"/>
      <c r="B54" s="204"/>
      <c r="C54" s="205"/>
      <c r="D54" s="205"/>
      <c r="E54" s="204"/>
      <c r="F54" s="206" t="s">
        <v>687</v>
      </c>
      <c r="G54" s="1801" t="s">
        <v>1191</v>
      </c>
      <c r="H54" s="1801"/>
      <c r="I54" s="1801"/>
      <c r="J54" s="1801"/>
      <c r="K54" s="1801"/>
      <c r="L54" s="1801"/>
      <c r="M54" s="1801"/>
      <c r="N54" s="1801"/>
      <c r="O54" s="1801"/>
      <c r="P54" s="1801"/>
      <c r="Q54" s="1801"/>
      <c r="R54" s="1801"/>
      <c r="S54" s="1801"/>
      <c r="T54" s="1801"/>
      <c r="U54" s="1801"/>
      <c r="V54" s="1801"/>
      <c r="W54" s="1801"/>
      <c r="X54" s="1801"/>
      <c r="Y54" s="1801"/>
      <c r="Z54" s="1801"/>
      <c r="AA54" s="1801"/>
      <c r="AB54" s="1801"/>
      <c r="AC54" s="1801"/>
      <c r="AD54" s="1801"/>
      <c r="AE54" s="1801"/>
      <c r="AF54" s="1801"/>
      <c r="AG54" s="1801"/>
      <c r="AH54" s="1801"/>
      <c r="AI54" s="1801"/>
      <c r="AJ54" s="1801"/>
      <c r="AK54" s="1801"/>
      <c r="AL54" s="204"/>
    </row>
    <row r="55" spans="1:38" ht="13.15" customHeight="1">
      <c r="A55" s="204"/>
      <c r="B55" s="204"/>
      <c r="C55" s="205"/>
      <c r="D55" s="205"/>
      <c r="E55" s="204"/>
      <c r="F55" s="206"/>
      <c r="G55" s="478" t="s">
        <v>1193</v>
      </c>
      <c r="H55" s="453"/>
      <c r="I55" s="453"/>
      <c r="J55" s="453"/>
      <c r="K55" s="453"/>
      <c r="L55" s="453"/>
      <c r="M55" s="453"/>
      <c r="N55" s="453"/>
      <c r="O55" s="453"/>
      <c r="P55" s="453"/>
      <c r="Q55" s="453"/>
      <c r="R55" s="453"/>
      <c r="S55" s="453"/>
      <c r="T55" s="453"/>
      <c r="U55" s="453"/>
      <c r="V55" s="453"/>
      <c r="W55" s="453"/>
      <c r="X55" s="453"/>
      <c r="Y55" s="453"/>
      <c r="Z55" s="453"/>
      <c r="AA55" s="453"/>
      <c r="AB55" s="453"/>
      <c r="AC55" s="453"/>
      <c r="AD55" s="453"/>
      <c r="AE55" s="453"/>
      <c r="AF55" s="453"/>
      <c r="AG55" s="453"/>
      <c r="AH55" s="453"/>
      <c r="AI55" s="453"/>
      <c r="AJ55" s="453"/>
      <c r="AK55" s="453"/>
      <c r="AL55" s="204"/>
    </row>
    <row r="56" spans="1:38">
      <c r="A56" s="204"/>
      <c r="B56" s="204"/>
      <c r="C56" s="205"/>
      <c r="D56" s="205"/>
      <c r="E56" s="204"/>
      <c r="F56" s="206"/>
      <c r="G56" s="1801" t="s">
        <v>575</v>
      </c>
      <c r="H56" s="1801"/>
      <c r="I56" s="1801"/>
      <c r="J56" s="452"/>
      <c r="K56" s="452"/>
      <c r="L56" s="452"/>
      <c r="M56" s="452"/>
      <c r="N56" s="452"/>
      <c r="O56" s="452"/>
      <c r="P56" s="452"/>
      <c r="Q56" s="452"/>
      <c r="R56" s="452"/>
      <c r="S56" s="452"/>
      <c r="T56" s="452"/>
      <c r="U56" s="452"/>
      <c r="V56" s="452"/>
      <c r="W56" s="452"/>
      <c r="X56" s="452"/>
      <c r="Y56" s="452"/>
      <c r="Z56" s="452"/>
      <c r="AA56" s="452"/>
      <c r="AB56" s="452"/>
      <c r="AC56" s="452"/>
      <c r="AD56" s="452"/>
      <c r="AE56" s="452"/>
      <c r="AF56" s="452"/>
      <c r="AG56" s="452"/>
      <c r="AH56" s="452"/>
      <c r="AI56" s="452"/>
      <c r="AJ56" s="452"/>
      <c r="AK56" s="452"/>
      <c r="AL56" s="204"/>
    </row>
    <row r="57" spans="1:38" ht="13.15" customHeight="1">
      <c r="A57" s="204"/>
      <c r="B57" s="205"/>
      <c r="C57" s="205"/>
      <c r="D57" s="205"/>
      <c r="E57" s="204"/>
      <c r="F57" s="206" t="s">
        <v>509</v>
      </c>
      <c r="G57" s="1801" t="s">
        <v>1999</v>
      </c>
      <c r="H57" s="1801"/>
      <c r="I57" s="1801"/>
      <c r="J57" s="1801"/>
      <c r="K57" s="1801"/>
      <c r="L57" s="1801"/>
      <c r="M57" s="1801"/>
      <c r="N57" s="1801"/>
      <c r="O57" s="1801"/>
      <c r="P57" s="1801"/>
      <c r="Q57" s="1801"/>
      <c r="R57" s="1801"/>
      <c r="S57" s="1801"/>
      <c r="T57" s="1801"/>
      <c r="U57" s="1801"/>
      <c r="V57" s="1801"/>
      <c r="W57" s="1801"/>
      <c r="X57" s="1801"/>
      <c r="Y57" s="1801"/>
      <c r="Z57" s="1801"/>
      <c r="AA57" s="1801"/>
      <c r="AB57" s="1801"/>
      <c r="AC57" s="1801"/>
      <c r="AD57" s="1801"/>
      <c r="AE57" s="1801"/>
      <c r="AF57" s="1801"/>
      <c r="AG57" s="1801"/>
      <c r="AH57" s="1801"/>
      <c r="AI57" s="1801"/>
      <c r="AJ57" s="1801"/>
      <c r="AK57" s="1801"/>
      <c r="AL57" s="1801"/>
    </row>
    <row r="58" spans="1:38">
      <c r="A58" s="204"/>
      <c r="B58" s="204"/>
      <c r="C58" s="205"/>
      <c r="D58" s="205"/>
      <c r="E58" s="204"/>
      <c r="F58" s="206"/>
      <c r="G58" s="1801"/>
      <c r="H58" s="1801"/>
      <c r="I58" s="1801"/>
      <c r="J58" s="1801"/>
      <c r="K58" s="1801"/>
      <c r="L58" s="1801"/>
      <c r="M58" s="1801"/>
      <c r="N58" s="1801"/>
      <c r="O58" s="1801"/>
      <c r="P58" s="1801"/>
      <c r="Q58" s="1801"/>
      <c r="R58" s="1801"/>
      <c r="S58" s="1801"/>
      <c r="T58" s="1801"/>
      <c r="U58" s="1801"/>
      <c r="V58" s="1801"/>
      <c r="W58" s="1801"/>
      <c r="X58" s="1801"/>
      <c r="Y58" s="1801"/>
      <c r="Z58" s="1801"/>
      <c r="AA58" s="1801"/>
      <c r="AB58" s="1801"/>
      <c r="AC58" s="1801"/>
      <c r="AD58" s="1801"/>
      <c r="AE58" s="1801"/>
      <c r="AF58" s="1801"/>
      <c r="AG58" s="1801"/>
      <c r="AH58" s="1801"/>
      <c r="AI58" s="1801"/>
      <c r="AJ58" s="1801"/>
      <c r="AK58" s="1801"/>
      <c r="AL58" s="1801"/>
    </row>
    <row r="59" spans="1:38">
      <c r="A59" s="204"/>
      <c r="B59" s="204"/>
      <c r="C59" s="205"/>
      <c r="D59" s="205"/>
      <c r="E59" s="204"/>
      <c r="F59" s="206"/>
      <c r="G59" s="479" t="s">
        <v>1279</v>
      </c>
      <c r="H59" s="452"/>
      <c r="I59" s="452"/>
      <c r="J59" s="452"/>
      <c r="K59" s="452"/>
      <c r="L59" s="452"/>
      <c r="M59" s="452"/>
      <c r="N59" s="452"/>
      <c r="O59" s="452"/>
      <c r="P59" s="452"/>
      <c r="Q59" s="452"/>
      <c r="R59" s="452"/>
      <c r="S59" s="452"/>
      <c r="T59" s="452"/>
      <c r="U59" s="452"/>
      <c r="V59" s="452"/>
      <c r="W59" s="452"/>
      <c r="X59" s="452"/>
      <c r="Y59" s="452"/>
      <c r="Z59" s="452"/>
      <c r="AA59" s="452"/>
      <c r="AB59" s="452"/>
      <c r="AC59" s="452"/>
      <c r="AD59" s="452"/>
      <c r="AE59" s="452"/>
      <c r="AF59" s="452"/>
      <c r="AG59" s="452"/>
      <c r="AH59" s="452"/>
      <c r="AI59" s="452"/>
      <c r="AJ59" s="452"/>
      <c r="AK59" s="452"/>
      <c r="AL59" s="204"/>
    </row>
    <row r="60" spans="1:38">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c r="A61" s="4"/>
      <c r="B61" s="4"/>
      <c r="C61" s="4"/>
      <c r="D61" s="4" t="s">
        <v>119</v>
      </c>
      <c r="E61" s="4" t="s">
        <v>175</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c r="A62" s="4"/>
      <c r="C62" s="2"/>
      <c r="E62" s="3" t="s">
        <v>1165</v>
      </c>
      <c r="G62" s="4"/>
      <c r="H62" s="4"/>
      <c r="I62" s="4"/>
      <c r="J62" s="4"/>
      <c r="K62" s="4"/>
      <c r="L62" s="4"/>
      <c r="M62" s="4"/>
      <c r="N62" s="4"/>
      <c r="O62" s="4"/>
      <c r="P62" s="4"/>
      <c r="Q62" s="4"/>
      <c r="R62" s="4"/>
      <c r="S62" s="4"/>
      <c r="T62" s="4"/>
      <c r="U62" s="4"/>
      <c r="V62" s="4"/>
      <c r="W62" s="4"/>
      <c r="X62" s="4"/>
      <c r="Y62" s="4"/>
      <c r="Z62" s="4"/>
      <c r="AA62" s="4"/>
      <c r="AB62" s="4"/>
    </row>
    <row r="63" spans="1:38">
      <c r="A63" s="4"/>
      <c r="C63" s="2"/>
      <c r="D63" s="4"/>
      <c r="E63" s="4" t="s">
        <v>653</v>
      </c>
      <c r="F63" s="4" t="s">
        <v>508</v>
      </c>
      <c r="G63" s="4"/>
      <c r="H63" s="4"/>
      <c r="I63" s="4"/>
      <c r="J63" s="4"/>
      <c r="K63" s="4"/>
      <c r="L63" s="4"/>
      <c r="M63" s="4"/>
      <c r="P63" s="4"/>
      <c r="Q63" s="4"/>
      <c r="R63" s="4"/>
      <c r="S63" s="4"/>
      <c r="T63" s="4"/>
      <c r="U63" s="4"/>
      <c r="V63" s="4"/>
      <c r="W63" s="4"/>
      <c r="X63" s="4"/>
      <c r="Y63" s="4"/>
      <c r="Z63" s="4"/>
      <c r="AA63" s="4"/>
      <c r="AB63" s="4"/>
    </row>
    <row r="64" spans="1:38">
      <c r="A64" s="4"/>
      <c r="C64" s="2"/>
      <c r="D64" s="4"/>
      <c r="E64" s="4"/>
      <c r="F64" t="s">
        <v>687</v>
      </c>
      <c r="G64" s="1480" t="s">
        <v>1166</v>
      </c>
      <c r="H64" s="1480"/>
      <c r="I64" s="1480"/>
      <c r="J64" s="1480"/>
      <c r="K64" s="1480"/>
      <c r="L64" s="1480"/>
      <c r="M64" s="1480"/>
      <c r="N64" s="1480"/>
      <c r="O64" s="1480"/>
      <c r="P64" s="1480"/>
      <c r="Q64" s="1480"/>
      <c r="R64" s="1480"/>
      <c r="S64" s="1480"/>
      <c r="T64" s="1480"/>
      <c r="U64" s="1480"/>
      <c r="V64" s="1480"/>
      <c r="W64" s="1480"/>
      <c r="X64" s="1480"/>
      <c r="Y64" s="1480"/>
      <c r="Z64" s="1480"/>
      <c r="AA64" s="1480"/>
      <c r="AB64" s="1480"/>
      <c r="AC64" s="1480"/>
      <c r="AD64" s="1480"/>
      <c r="AE64" s="1480"/>
      <c r="AF64" s="1480"/>
      <c r="AG64" s="1480"/>
      <c r="AH64" s="1480"/>
      <c r="AI64" s="1480"/>
      <c r="AJ64" s="1480"/>
      <c r="AK64" s="1480"/>
    </row>
    <row r="65" spans="1:37">
      <c r="A65" s="4"/>
      <c r="C65" s="2"/>
      <c r="D65" s="4"/>
      <c r="E65" s="4"/>
      <c r="G65" s="1480"/>
      <c r="H65" s="1480"/>
      <c r="I65" s="1480"/>
      <c r="J65" s="1480"/>
      <c r="K65" s="1480"/>
      <c r="L65" s="1480"/>
      <c r="M65" s="1480"/>
      <c r="N65" s="1480"/>
      <c r="O65" s="1480"/>
      <c r="P65" s="1480"/>
      <c r="Q65" s="1480"/>
      <c r="R65" s="1480"/>
      <c r="S65" s="1480"/>
      <c r="T65" s="1480"/>
      <c r="U65" s="1480"/>
      <c r="V65" s="1480"/>
      <c r="W65" s="1480"/>
      <c r="X65" s="1480"/>
      <c r="Y65" s="1480"/>
      <c r="Z65" s="1480"/>
      <c r="AA65" s="1480"/>
      <c r="AB65" s="1480"/>
      <c r="AC65" s="1480"/>
      <c r="AD65" s="1480"/>
      <c r="AE65" s="1480"/>
      <c r="AF65" s="1480"/>
      <c r="AG65" s="1480"/>
      <c r="AH65" s="1480"/>
      <c r="AI65" s="1480"/>
      <c r="AJ65" s="1480"/>
      <c r="AK65" s="1480"/>
    </row>
    <row r="66" spans="1:37">
      <c r="A66" s="4"/>
      <c r="C66" s="2"/>
      <c r="D66" s="4"/>
      <c r="E66" s="4"/>
      <c r="G66" s="1480"/>
      <c r="H66" s="1480"/>
      <c r="I66" s="1480"/>
      <c r="J66" s="1480"/>
      <c r="K66" s="1480"/>
      <c r="L66" s="1480"/>
      <c r="M66" s="1480"/>
      <c r="N66" s="1480"/>
      <c r="O66" s="1480"/>
      <c r="P66" s="1480"/>
      <c r="Q66" s="1480"/>
      <c r="R66" s="1480"/>
      <c r="S66" s="1480"/>
      <c r="T66" s="1480"/>
      <c r="U66" s="1480"/>
      <c r="V66" s="1480"/>
      <c r="W66" s="1480"/>
      <c r="X66" s="1480"/>
      <c r="Y66" s="1480"/>
      <c r="Z66" s="1480"/>
      <c r="AA66" s="1480"/>
      <c r="AB66" s="1480"/>
      <c r="AC66" s="1480"/>
      <c r="AD66" s="1480"/>
      <c r="AE66" s="1480"/>
      <c r="AF66" s="1480"/>
      <c r="AG66" s="1480"/>
      <c r="AH66" s="1480"/>
      <c r="AI66" s="1480"/>
      <c r="AJ66" s="1480"/>
      <c r="AK66" s="1480"/>
    </row>
    <row r="67" spans="1:37" ht="13.15" customHeight="1">
      <c r="A67" s="4"/>
      <c r="C67" s="2"/>
      <c r="D67" s="4"/>
      <c r="E67" s="4"/>
      <c r="F67" t="s">
        <v>509</v>
      </c>
      <c r="G67" s="1480" t="s">
        <v>1167</v>
      </c>
      <c r="H67" s="1480"/>
      <c r="I67" s="1480"/>
      <c r="J67" s="1480"/>
      <c r="K67" s="1480"/>
      <c r="L67" s="1480"/>
      <c r="M67" s="1480"/>
      <c r="N67" s="1480"/>
      <c r="O67" s="1480"/>
      <c r="P67" s="1480"/>
      <c r="Q67" s="1480"/>
      <c r="R67" s="1480"/>
      <c r="S67" s="1480"/>
      <c r="T67" s="1480"/>
      <c r="U67" s="1480"/>
      <c r="V67" s="1480"/>
      <c r="W67" s="1480"/>
      <c r="X67" s="1480"/>
      <c r="Y67" s="1480"/>
      <c r="Z67" s="1480"/>
      <c r="AA67" s="1480"/>
      <c r="AB67" s="1480"/>
      <c r="AC67" s="1480"/>
      <c r="AD67" s="1480"/>
      <c r="AE67" s="1480"/>
      <c r="AF67" s="1480"/>
      <c r="AG67" s="1480"/>
      <c r="AH67" s="1480"/>
      <c r="AI67" s="1480"/>
      <c r="AJ67" s="1480"/>
      <c r="AK67" s="1480"/>
    </row>
    <row r="68" spans="1:37">
      <c r="A68" s="4"/>
      <c r="C68" s="2"/>
      <c r="D68" s="4"/>
      <c r="E68" s="4"/>
      <c r="F68" s="27"/>
      <c r="G68" s="1480"/>
      <c r="H68" s="1480"/>
      <c r="I68" s="1480"/>
      <c r="J68" s="1480"/>
      <c r="K68" s="1480"/>
      <c r="L68" s="1480"/>
      <c r="M68" s="1480"/>
      <c r="N68" s="1480"/>
      <c r="O68" s="1480"/>
      <c r="P68" s="1480"/>
      <c r="Q68" s="1480"/>
      <c r="R68" s="1480"/>
      <c r="S68" s="1480"/>
      <c r="T68" s="1480"/>
      <c r="U68" s="1480"/>
      <c r="V68" s="1480"/>
      <c r="W68" s="1480"/>
      <c r="X68" s="1480"/>
      <c r="Y68" s="1480"/>
      <c r="Z68" s="1480"/>
      <c r="AA68" s="1480"/>
      <c r="AB68" s="1480"/>
      <c r="AC68" s="1480"/>
      <c r="AD68" s="1480"/>
      <c r="AE68" s="1480"/>
      <c r="AF68" s="1480"/>
      <c r="AG68" s="1480"/>
      <c r="AH68" s="1480"/>
      <c r="AI68" s="1480"/>
      <c r="AJ68" s="1480"/>
      <c r="AK68" s="1480"/>
    </row>
    <row r="69" spans="1:37">
      <c r="A69" s="4"/>
      <c r="C69" s="2"/>
      <c r="D69" s="4"/>
      <c r="E69" s="4" t="s">
        <v>348</v>
      </c>
      <c r="F69" s="4" t="s">
        <v>421</v>
      </c>
      <c r="G69" s="455"/>
      <c r="H69" s="455"/>
      <c r="I69" s="455"/>
      <c r="J69" s="455"/>
      <c r="K69" s="455"/>
      <c r="L69" s="455"/>
      <c r="M69" s="455"/>
      <c r="N69" s="455"/>
      <c r="O69" s="455"/>
      <c r="P69" s="455"/>
      <c r="Q69" s="455"/>
      <c r="R69" s="455"/>
      <c r="S69" s="455"/>
      <c r="T69" s="455"/>
      <c r="U69" s="455"/>
      <c r="V69" s="455"/>
      <c r="W69" s="455"/>
      <c r="X69" s="455"/>
      <c r="Y69" s="455"/>
      <c r="Z69" s="455"/>
      <c r="AA69" s="455"/>
      <c r="AB69" s="455"/>
      <c r="AC69" s="455"/>
      <c r="AD69" s="455"/>
      <c r="AE69" s="455"/>
      <c r="AF69" s="455"/>
      <c r="AG69" s="455"/>
      <c r="AH69" s="455"/>
      <c r="AI69" s="455"/>
      <c r="AJ69" s="455"/>
      <c r="AK69" s="455"/>
    </row>
    <row r="70" spans="1:37">
      <c r="A70" s="4"/>
      <c r="C70" s="2"/>
      <c r="D70" s="4"/>
      <c r="E70" s="4"/>
      <c r="F70" s="8" t="s">
        <v>687</v>
      </c>
      <c r="G70" s="1480" t="s">
        <v>1168</v>
      </c>
      <c r="H70" s="1480"/>
      <c r="I70" s="1480"/>
      <c r="J70" s="1480"/>
      <c r="K70" s="1480"/>
      <c r="L70" s="1480"/>
      <c r="M70" s="1480"/>
      <c r="N70" s="1480"/>
      <c r="O70" s="1480"/>
      <c r="P70" s="1480"/>
      <c r="Q70" s="1480"/>
      <c r="R70" s="1480"/>
      <c r="S70" s="1480"/>
      <c r="T70" s="1480"/>
      <c r="U70" s="1480"/>
      <c r="V70" s="1480"/>
      <c r="W70" s="1480"/>
      <c r="X70" s="1480"/>
      <c r="Y70" s="1480"/>
      <c r="Z70" s="1480"/>
      <c r="AA70" s="1480"/>
      <c r="AB70" s="1480"/>
      <c r="AC70" s="1480"/>
      <c r="AD70" s="1480"/>
      <c r="AE70" s="1480"/>
      <c r="AF70" s="1480"/>
      <c r="AG70" s="1480"/>
      <c r="AH70" s="1480"/>
      <c r="AI70" s="1480"/>
      <c r="AJ70" s="1480"/>
      <c r="AK70" s="1480"/>
    </row>
    <row r="71" spans="1:37">
      <c r="A71" s="4"/>
      <c r="C71" s="2"/>
      <c r="D71" s="4"/>
      <c r="E71" s="4"/>
      <c r="F71" s="8"/>
      <c r="G71" s="1480"/>
      <c r="H71" s="1480"/>
      <c r="I71" s="1480"/>
      <c r="J71" s="1480"/>
      <c r="K71" s="1480"/>
      <c r="L71" s="1480"/>
      <c r="M71" s="1480"/>
      <c r="N71" s="1480"/>
      <c r="O71" s="1480"/>
      <c r="P71" s="1480"/>
      <c r="Q71" s="1480"/>
      <c r="R71" s="1480"/>
      <c r="S71" s="1480"/>
      <c r="T71" s="1480"/>
      <c r="U71" s="1480"/>
      <c r="V71" s="1480"/>
      <c r="W71" s="1480"/>
      <c r="X71" s="1480"/>
      <c r="Y71" s="1480"/>
      <c r="Z71" s="1480"/>
      <c r="AA71" s="1480"/>
      <c r="AB71" s="1480"/>
      <c r="AC71" s="1480"/>
      <c r="AD71" s="1480"/>
      <c r="AE71" s="1480"/>
      <c r="AF71" s="1480"/>
      <c r="AG71" s="1480"/>
      <c r="AH71" s="1480"/>
      <c r="AI71" s="1480"/>
      <c r="AJ71" s="1480"/>
      <c r="AK71" s="1480"/>
    </row>
    <row r="72" spans="1:37">
      <c r="A72" s="4"/>
      <c r="C72" s="2"/>
      <c r="D72" s="4"/>
      <c r="E72" s="4"/>
      <c r="F72" s="8" t="s">
        <v>509</v>
      </c>
      <c r="G72" s="1480" t="s">
        <v>1169</v>
      </c>
      <c r="H72" s="1480"/>
      <c r="I72" s="1480"/>
      <c r="J72" s="1480"/>
      <c r="K72" s="1480"/>
      <c r="L72" s="1480"/>
      <c r="M72" s="1480"/>
      <c r="N72" s="1480"/>
      <c r="O72" s="1480"/>
      <c r="P72" s="1480"/>
      <c r="Q72" s="1480"/>
      <c r="R72" s="1480"/>
      <c r="S72" s="1480"/>
      <c r="T72" s="1480"/>
      <c r="U72" s="1480"/>
      <c r="V72" s="1480"/>
      <c r="W72" s="1480"/>
      <c r="X72" s="1480"/>
      <c r="Y72" s="1480"/>
      <c r="Z72" s="1480"/>
      <c r="AA72" s="1480"/>
      <c r="AB72" s="1480"/>
      <c r="AC72" s="1480"/>
      <c r="AD72" s="1480"/>
      <c r="AE72" s="1480"/>
      <c r="AF72" s="1480"/>
      <c r="AG72" s="1480"/>
      <c r="AH72" s="1480"/>
      <c r="AI72" s="1480"/>
      <c r="AJ72" s="1480"/>
      <c r="AK72" s="1480"/>
    </row>
    <row r="73" spans="1:37">
      <c r="A73" s="4"/>
      <c r="C73" s="2"/>
      <c r="D73" s="4"/>
      <c r="E73" s="4"/>
      <c r="F73" s="8"/>
      <c r="G73" s="1480"/>
      <c r="H73" s="1480"/>
      <c r="I73" s="1480"/>
      <c r="J73" s="1480"/>
      <c r="K73" s="1480"/>
      <c r="L73" s="1480"/>
      <c r="M73" s="1480"/>
      <c r="N73" s="1480"/>
      <c r="O73" s="1480"/>
      <c r="P73" s="1480"/>
      <c r="Q73" s="1480"/>
      <c r="R73" s="1480"/>
      <c r="S73" s="1480"/>
      <c r="T73" s="1480"/>
      <c r="U73" s="1480"/>
      <c r="V73" s="1480"/>
      <c r="W73" s="1480"/>
      <c r="X73" s="1480"/>
      <c r="Y73" s="1480"/>
      <c r="Z73" s="1480"/>
      <c r="AA73" s="1480"/>
      <c r="AB73" s="1480"/>
      <c r="AC73" s="1480"/>
      <c r="AD73" s="1480"/>
      <c r="AE73" s="1480"/>
      <c r="AF73" s="1480"/>
      <c r="AG73" s="1480"/>
      <c r="AH73" s="1480"/>
      <c r="AI73" s="1480"/>
      <c r="AJ73" s="1480"/>
      <c r="AK73" s="1480"/>
    </row>
    <row r="74" spans="1:37">
      <c r="A74" s="4"/>
      <c r="C74" s="2"/>
      <c r="D74" s="4"/>
      <c r="E74" s="4"/>
      <c r="F74" s="8"/>
      <c r="G74" s="120" t="s">
        <v>750</v>
      </c>
      <c r="H74" s="4"/>
      <c r="J74" s="120"/>
      <c r="K74" s="120"/>
      <c r="L74" s="120"/>
      <c r="P74" s="4"/>
      <c r="Q74" s="4"/>
      <c r="R74" s="4"/>
      <c r="S74" s="4"/>
      <c r="T74" s="4"/>
      <c r="U74" s="4"/>
      <c r="V74" s="4"/>
      <c r="W74" s="4"/>
      <c r="X74" s="4"/>
      <c r="Y74" s="4"/>
      <c r="Z74" s="4"/>
      <c r="AA74" s="4"/>
      <c r="AB74" s="4"/>
    </row>
    <row r="75" spans="1:37">
      <c r="A75" s="4"/>
      <c r="C75" s="2"/>
      <c r="D75" s="4"/>
      <c r="E75" s="4"/>
      <c r="F75" s="8"/>
      <c r="G75" s="120" t="s">
        <v>864</v>
      </c>
      <c r="J75" s="120"/>
      <c r="K75" s="120"/>
      <c r="L75" s="120"/>
      <c r="P75" s="4"/>
      <c r="Q75" s="4"/>
      <c r="R75" s="4"/>
      <c r="S75" s="4"/>
      <c r="T75" s="4"/>
      <c r="U75" s="4"/>
      <c r="V75" s="4"/>
      <c r="W75" s="4"/>
      <c r="X75" s="4"/>
      <c r="Y75" s="4"/>
      <c r="Z75" s="4"/>
      <c r="AA75" s="4"/>
      <c r="AB75" s="4"/>
    </row>
    <row r="76" spans="1:37">
      <c r="A76" s="4"/>
      <c r="C76" s="2"/>
      <c r="D76" s="4"/>
      <c r="E76" s="4"/>
      <c r="F76" s="8" t="s">
        <v>278</v>
      </c>
      <c r="G76" s="4" t="s">
        <v>1014</v>
      </c>
      <c r="H76" s="4"/>
      <c r="I76" s="4"/>
      <c r="K76" s="4"/>
      <c r="L76" s="4"/>
      <c r="M76" s="4"/>
      <c r="P76" s="4"/>
      <c r="Q76" s="4"/>
      <c r="R76" s="4"/>
      <c r="S76" s="4"/>
      <c r="T76" s="4"/>
      <c r="U76" s="4"/>
      <c r="V76" s="4"/>
      <c r="W76" s="4"/>
      <c r="X76" s="4"/>
      <c r="Y76" s="4"/>
      <c r="Z76" s="4"/>
      <c r="AA76" s="4"/>
      <c r="AB76" s="4"/>
    </row>
    <row r="77" spans="1:37">
      <c r="A77" s="4"/>
      <c r="C77" s="2"/>
      <c r="D77" s="4"/>
      <c r="E77" s="4"/>
      <c r="F77" s="4"/>
      <c r="G77" s="4" t="s">
        <v>507</v>
      </c>
      <c r="H77" s="4" t="s">
        <v>865</v>
      </c>
      <c r="K77" s="4"/>
      <c r="L77" s="4"/>
      <c r="M77" s="4"/>
      <c r="P77" s="4"/>
      <c r="Q77" s="4"/>
      <c r="R77" s="4"/>
      <c r="S77" s="4"/>
      <c r="T77" s="4"/>
      <c r="U77" s="4"/>
      <c r="V77" s="4"/>
      <c r="W77" s="4"/>
      <c r="X77" s="4"/>
      <c r="Y77" s="4"/>
      <c r="Z77" s="4"/>
      <c r="AA77" s="4"/>
      <c r="AB77" s="4"/>
    </row>
    <row r="78" spans="1:37">
      <c r="A78" s="4"/>
      <c r="C78" s="2"/>
      <c r="D78" s="4"/>
      <c r="E78" s="4"/>
      <c r="F78" s="4"/>
      <c r="G78" s="4" t="s">
        <v>757</v>
      </c>
      <c r="H78" s="4" t="s">
        <v>753</v>
      </c>
      <c r="K78" s="4"/>
      <c r="L78" s="4"/>
      <c r="M78" s="4"/>
      <c r="P78" s="4"/>
      <c r="Q78" s="4"/>
      <c r="R78" s="4"/>
      <c r="S78" s="4"/>
      <c r="T78" s="4"/>
      <c r="U78" s="4"/>
      <c r="V78" s="4"/>
      <c r="W78" s="4"/>
      <c r="X78" s="4"/>
      <c r="Y78" s="4"/>
      <c r="Z78" s="4"/>
      <c r="AA78" s="4"/>
      <c r="AB78" s="4"/>
    </row>
    <row r="79" spans="1:37">
      <c r="A79" s="4"/>
      <c r="C79" s="2"/>
      <c r="D79" s="4"/>
      <c r="E79" s="4" t="s">
        <v>349</v>
      </c>
      <c r="F79" s="4" t="s">
        <v>22</v>
      </c>
      <c r="G79" s="4"/>
      <c r="H79" s="4"/>
      <c r="I79" s="4"/>
      <c r="J79" s="4"/>
      <c r="K79" s="4"/>
      <c r="L79" s="4"/>
      <c r="M79" s="4"/>
      <c r="P79" s="4"/>
      <c r="Q79" s="4"/>
      <c r="R79" s="4"/>
      <c r="S79" s="4"/>
      <c r="T79" s="4"/>
      <c r="U79" s="4"/>
      <c r="V79" s="4"/>
      <c r="W79" s="4"/>
      <c r="X79" s="4"/>
      <c r="Y79" s="4"/>
      <c r="Z79" s="4"/>
      <c r="AA79" s="4"/>
      <c r="AB79" s="4"/>
    </row>
    <row r="80" spans="1:37">
      <c r="A80" s="4"/>
      <c r="C80" s="2"/>
      <c r="D80" s="4"/>
      <c r="E80" s="4"/>
      <c r="F80" s="8"/>
      <c r="G80" s="1480" t="s">
        <v>1170</v>
      </c>
      <c r="H80" s="1480"/>
      <c r="I80" s="1480"/>
      <c r="J80" s="1480"/>
      <c r="K80" s="1480"/>
      <c r="L80" s="1480"/>
      <c r="M80" s="1480"/>
      <c r="N80" s="1480"/>
      <c r="O80" s="1480"/>
      <c r="P80" s="1480"/>
      <c r="Q80" s="1480"/>
      <c r="R80" s="1480"/>
      <c r="S80" s="1480"/>
      <c r="T80" s="1480"/>
      <c r="U80" s="1480"/>
      <c r="V80" s="1480"/>
      <c r="W80" s="1480"/>
      <c r="X80" s="1480"/>
      <c r="Y80" s="1480"/>
      <c r="Z80" s="1480"/>
      <c r="AA80" s="1480"/>
      <c r="AB80" s="1480"/>
      <c r="AC80" s="1480"/>
      <c r="AD80" s="1480"/>
      <c r="AE80" s="1480"/>
      <c r="AF80" s="1480"/>
      <c r="AG80" s="1480"/>
      <c r="AH80" s="1480"/>
      <c r="AI80" s="1480"/>
      <c r="AJ80" s="1480"/>
      <c r="AK80" s="1480"/>
    </row>
    <row r="81" spans="1:37">
      <c r="A81" s="4"/>
      <c r="C81" s="2"/>
      <c r="D81" s="4"/>
      <c r="E81" s="4"/>
      <c r="F81" s="4"/>
      <c r="G81" s="1480"/>
      <c r="H81" s="1480"/>
      <c r="I81" s="1480"/>
      <c r="J81" s="1480"/>
      <c r="K81" s="1480"/>
      <c r="L81" s="1480"/>
      <c r="M81" s="1480"/>
      <c r="N81" s="1480"/>
      <c r="O81" s="1480"/>
      <c r="P81" s="1480"/>
      <c r="Q81" s="1480"/>
      <c r="R81" s="1480"/>
      <c r="S81" s="1480"/>
      <c r="T81" s="1480"/>
      <c r="U81" s="1480"/>
      <c r="V81" s="1480"/>
      <c r="W81" s="1480"/>
      <c r="X81" s="1480"/>
      <c r="Y81" s="1480"/>
      <c r="Z81" s="1480"/>
      <c r="AA81" s="1480"/>
      <c r="AB81" s="1480"/>
      <c r="AC81" s="1480"/>
      <c r="AD81" s="1480"/>
      <c r="AE81" s="1480"/>
      <c r="AF81" s="1480"/>
      <c r="AG81" s="1480"/>
      <c r="AH81" s="1480"/>
      <c r="AI81" s="1480"/>
      <c r="AJ81" s="1480"/>
      <c r="AK81" s="1480"/>
    </row>
    <row r="82" spans="1:37">
      <c r="A82" s="4"/>
      <c r="C82" s="2"/>
      <c r="D82" s="4"/>
      <c r="E82" s="4"/>
      <c r="F82" s="4"/>
      <c r="G82" s="1480"/>
      <c r="H82" s="1480"/>
      <c r="I82" s="1480"/>
      <c r="J82" s="1480"/>
      <c r="K82" s="1480"/>
      <c r="L82" s="1480"/>
      <c r="M82" s="1480"/>
      <c r="N82" s="1480"/>
      <c r="O82" s="1480"/>
      <c r="P82" s="1480"/>
      <c r="Q82" s="1480"/>
      <c r="R82" s="1480"/>
      <c r="S82" s="1480"/>
      <c r="T82" s="1480"/>
      <c r="U82" s="1480"/>
      <c r="V82" s="1480"/>
      <c r="W82" s="1480"/>
      <c r="X82" s="1480"/>
      <c r="Y82" s="1480"/>
      <c r="Z82" s="1480"/>
      <c r="AA82" s="1480"/>
      <c r="AB82" s="1480"/>
      <c r="AC82" s="1480"/>
      <c r="AD82" s="1480"/>
      <c r="AE82" s="1480"/>
      <c r="AF82" s="1480"/>
      <c r="AG82" s="1480"/>
      <c r="AH82" s="1480"/>
      <c r="AI82" s="1480"/>
      <c r="AJ82" s="1480"/>
      <c r="AK82" s="1480"/>
    </row>
    <row r="83" spans="1:37">
      <c r="A83" s="4"/>
      <c r="C83" s="2"/>
      <c r="D83" s="4"/>
      <c r="E83" s="4" t="s">
        <v>444</v>
      </c>
      <c r="F83" s="4" t="s">
        <v>616</v>
      </c>
      <c r="G83" s="4"/>
      <c r="H83" s="4"/>
      <c r="I83" s="4"/>
      <c r="J83" s="4"/>
      <c r="K83" s="4"/>
      <c r="L83" s="4"/>
      <c r="M83" s="4"/>
      <c r="P83" s="4"/>
      <c r="Q83" s="4"/>
      <c r="R83" s="4"/>
      <c r="S83" s="4"/>
      <c r="T83" s="4"/>
      <c r="U83" s="4"/>
      <c r="V83" s="4"/>
      <c r="W83" s="4"/>
      <c r="X83" s="4"/>
      <c r="Y83" s="4"/>
      <c r="Z83" s="4"/>
      <c r="AA83" s="4"/>
      <c r="AB83" s="4"/>
    </row>
    <row r="84" spans="1:37">
      <c r="A84" s="4"/>
      <c r="C84" s="2"/>
      <c r="D84" s="4"/>
      <c r="E84" s="4"/>
      <c r="F84" s="8"/>
      <c r="G84" s="1480" t="s">
        <v>1171</v>
      </c>
      <c r="H84" s="1480"/>
      <c r="I84" s="1480"/>
      <c r="J84" s="1480"/>
      <c r="K84" s="1480"/>
      <c r="L84" s="1480"/>
      <c r="M84" s="1480"/>
      <c r="N84" s="1480"/>
      <c r="O84" s="1480"/>
      <c r="P84" s="1480"/>
      <c r="Q84" s="1480"/>
      <c r="R84" s="1480"/>
      <c r="S84" s="1480"/>
      <c r="T84" s="1480"/>
      <c r="U84" s="1480"/>
      <c r="V84" s="1480"/>
      <c r="W84" s="1480"/>
      <c r="X84" s="1480"/>
      <c r="Y84" s="1480"/>
      <c r="Z84" s="1480"/>
      <c r="AA84" s="1480"/>
      <c r="AB84" s="1480"/>
      <c r="AC84" s="1480"/>
      <c r="AD84" s="1480"/>
      <c r="AE84" s="1480"/>
      <c r="AF84" s="1480"/>
      <c r="AG84" s="1480"/>
      <c r="AH84" s="1480"/>
      <c r="AI84" s="1480"/>
      <c r="AJ84" s="1480"/>
      <c r="AK84" s="1480"/>
    </row>
    <row r="85" spans="1:37">
      <c r="A85" s="4"/>
      <c r="C85" s="2"/>
      <c r="D85" s="4"/>
      <c r="E85" s="4"/>
      <c r="F85" s="4"/>
      <c r="G85" s="1480"/>
      <c r="H85" s="1480"/>
      <c r="I85" s="1480"/>
      <c r="J85" s="1480"/>
      <c r="K85" s="1480"/>
      <c r="L85" s="1480"/>
      <c r="M85" s="1480"/>
      <c r="N85" s="1480"/>
      <c r="O85" s="1480"/>
      <c r="P85" s="1480"/>
      <c r="Q85" s="1480"/>
      <c r="R85" s="1480"/>
      <c r="S85" s="1480"/>
      <c r="T85" s="1480"/>
      <c r="U85" s="1480"/>
      <c r="V85" s="1480"/>
      <c r="W85" s="1480"/>
      <c r="X85" s="1480"/>
      <c r="Y85" s="1480"/>
      <c r="Z85" s="1480"/>
      <c r="AA85" s="1480"/>
      <c r="AB85" s="1480"/>
      <c r="AC85" s="1480"/>
      <c r="AD85" s="1480"/>
      <c r="AE85" s="1480"/>
      <c r="AF85" s="1480"/>
      <c r="AG85" s="1480"/>
      <c r="AH85" s="1480"/>
      <c r="AI85" s="1480"/>
      <c r="AJ85" s="1480"/>
      <c r="AK85" s="1480"/>
    </row>
    <row r="86" spans="1:37">
      <c r="A86" s="4"/>
      <c r="C86" s="2"/>
      <c r="D86" s="4"/>
      <c r="E86" s="4"/>
      <c r="G86" s="1480"/>
      <c r="H86" s="1480"/>
      <c r="I86" s="1480"/>
      <c r="J86" s="1480"/>
      <c r="K86" s="1480"/>
      <c r="L86" s="1480"/>
      <c r="M86" s="1480"/>
      <c r="N86" s="1480"/>
      <c r="O86" s="1480"/>
      <c r="P86" s="1480"/>
      <c r="Q86" s="1480"/>
      <c r="R86" s="1480"/>
      <c r="S86" s="1480"/>
      <c r="T86" s="1480"/>
      <c r="U86" s="1480"/>
      <c r="V86" s="1480"/>
      <c r="W86" s="1480"/>
      <c r="X86" s="1480"/>
      <c r="Y86" s="1480"/>
      <c r="Z86" s="1480"/>
      <c r="AA86" s="1480"/>
      <c r="AB86" s="1480"/>
      <c r="AC86" s="1480"/>
      <c r="AD86" s="1480"/>
      <c r="AE86" s="1480"/>
      <c r="AF86" s="1480"/>
      <c r="AG86" s="1480"/>
      <c r="AH86" s="1480"/>
      <c r="AI86" s="1480"/>
      <c r="AJ86" s="1480"/>
      <c r="AK86" s="1480"/>
    </row>
    <row r="87" spans="1:37">
      <c r="A87" s="4"/>
      <c r="C87" s="2"/>
      <c r="D87" s="4"/>
      <c r="E87" s="4" t="s">
        <v>262</v>
      </c>
      <c r="F87" t="s">
        <v>866</v>
      </c>
      <c r="G87" s="4"/>
      <c r="L87" s="4"/>
      <c r="M87" s="4"/>
      <c r="P87" s="4"/>
      <c r="Q87" s="4"/>
      <c r="R87" s="4"/>
      <c r="S87" s="4"/>
      <c r="T87" s="4"/>
      <c r="U87" s="4"/>
      <c r="V87" s="4"/>
      <c r="W87" s="4"/>
      <c r="X87" s="4"/>
      <c r="Y87" s="4"/>
      <c r="Z87" s="4"/>
      <c r="AA87" s="4"/>
      <c r="AB87" s="4"/>
    </row>
    <row r="88" spans="1:37">
      <c r="A88" s="4"/>
      <c r="C88" s="2"/>
      <c r="D88" s="4"/>
      <c r="E88" s="4"/>
      <c r="G88" s="1799" t="s">
        <v>1172</v>
      </c>
      <c r="H88" s="1799"/>
      <c r="I88" s="1799"/>
      <c r="J88" s="1799"/>
      <c r="K88" s="1799"/>
      <c r="L88" s="1799"/>
      <c r="M88" s="1799"/>
      <c r="N88" s="1799"/>
      <c r="O88" s="1799"/>
      <c r="P88" s="1799"/>
      <c r="Q88" s="1799"/>
      <c r="R88" s="1799"/>
      <c r="S88" s="1799"/>
      <c r="T88" s="1799"/>
      <c r="U88" s="1799"/>
      <c r="V88" s="1799"/>
      <c r="W88" s="1799"/>
      <c r="X88" s="1799"/>
      <c r="Y88" s="1799"/>
      <c r="Z88" s="1799"/>
      <c r="AA88" s="1799"/>
      <c r="AB88" s="1799"/>
      <c r="AC88" s="1799"/>
      <c r="AD88" s="1799"/>
      <c r="AE88" s="1799"/>
      <c r="AF88" s="1799"/>
      <c r="AG88" s="1799"/>
      <c r="AH88" s="1799"/>
      <c r="AI88" s="1799"/>
      <c r="AJ88" s="1799"/>
      <c r="AK88" s="1799"/>
    </row>
    <row r="89" spans="1:37">
      <c r="A89" s="4"/>
      <c r="C89" s="2"/>
      <c r="D89" s="4"/>
      <c r="E89" s="4"/>
      <c r="G89" s="1799"/>
      <c r="H89" s="1799"/>
      <c r="I89" s="1799"/>
      <c r="J89" s="1799"/>
      <c r="K89" s="1799"/>
      <c r="L89" s="1799"/>
      <c r="M89" s="1799"/>
      <c r="N89" s="1799"/>
      <c r="O89" s="1799"/>
      <c r="P89" s="1799"/>
      <c r="Q89" s="1799"/>
      <c r="R89" s="1799"/>
      <c r="S89" s="1799"/>
      <c r="T89" s="1799"/>
      <c r="U89" s="1799"/>
      <c r="V89" s="1799"/>
      <c r="W89" s="1799"/>
      <c r="X89" s="1799"/>
      <c r="Y89" s="1799"/>
      <c r="Z89" s="1799"/>
      <c r="AA89" s="1799"/>
      <c r="AB89" s="1799"/>
      <c r="AC89" s="1799"/>
      <c r="AD89" s="1799"/>
      <c r="AE89" s="1799"/>
      <c r="AF89" s="1799"/>
      <c r="AG89" s="1799"/>
      <c r="AH89" s="1799"/>
      <c r="AI89" s="1799"/>
      <c r="AJ89" s="1799"/>
      <c r="AK89" s="1799"/>
    </row>
    <row r="90" spans="1:37">
      <c r="A90" s="4"/>
      <c r="C90" s="2"/>
      <c r="D90" s="4"/>
      <c r="E90" s="4"/>
      <c r="G90" s="1799"/>
      <c r="H90" s="1799"/>
      <c r="I90" s="1799"/>
      <c r="J90" s="1799"/>
      <c r="K90" s="1799"/>
      <c r="L90" s="1799"/>
      <c r="M90" s="1799"/>
      <c r="N90" s="1799"/>
      <c r="O90" s="1799"/>
      <c r="P90" s="1799"/>
      <c r="Q90" s="1799"/>
      <c r="R90" s="1799"/>
      <c r="S90" s="1799"/>
      <c r="T90" s="1799"/>
      <c r="U90" s="1799"/>
      <c r="V90" s="1799"/>
      <c r="W90" s="1799"/>
      <c r="X90" s="1799"/>
      <c r="Y90" s="1799"/>
      <c r="Z90" s="1799"/>
      <c r="AA90" s="1799"/>
      <c r="AB90" s="1799"/>
      <c r="AC90" s="1799"/>
      <c r="AD90" s="1799"/>
      <c r="AE90" s="1799"/>
      <c r="AF90" s="1799"/>
      <c r="AG90" s="1799"/>
      <c r="AH90" s="1799"/>
      <c r="AI90" s="1799"/>
      <c r="AJ90" s="1799"/>
      <c r="AK90" s="1799"/>
    </row>
    <row r="91" spans="1:37">
      <c r="A91" s="4"/>
      <c r="C91" s="2"/>
      <c r="D91" s="4"/>
      <c r="E91" s="4" t="s">
        <v>263</v>
      </c>
      <c r="F91" s="4" t="s">
        <v>516</v>
      </c>
      <c r="G91" s="4"/>
      <c r="H91" s="4"/>
      <c r="I91" s="4"/>
      <c r="J91" s="4"/>
      <c r="K91" s="4"/>
      <c r="L91" s="4"/>
      <c r="M91" s="4"/>
      <c r="P91" s="4"/>
      <c r="Q91" s="4"/>
      <c r="R91" s="4"/>
      <c r="S91" s="4"/>
      <c r="T91" s="4"/>
      <c r="U91" s="4"/>
      <c r="V91" s="4"/>
      <c r="W91" s="4"/>
      <c r="X91" s="4"/>
      <c r="Y91" s="4"/>
      <c r="Z91" s="4"/>
      <c r="AA91" s="4"/>
      <c r="AB91" s="4"/>
    </row>
    <row r="92" spans="1:37">
      <c r="A92" s="4"/>
      <c r="C92" s="2"/>
      <c r="D92" s="4"/>
      <c r="E92" s="4"/>
      <c r="F92" s="4"/>
      <c r="G92" s="1480" t="s">
        <v>1173</v>
      </c>
      <c r="H92" s="1480"/>
      <c r="I92" s="1480"/>
      <c r="J92" s="1480"/>
      <c r="K92" s="1480"/>
      <c r="L92" s="1480"/>
      <c r="M92" s="1480"/>
      <c r="N92" s="1480"/>
      <c r="O92" s="1480"/>
      <c r="P92" s="1480"/>
      <c r="Q92" s="1480"/>
      <c r="R92" s="1480"/>
      <c r="S92" s="1480"/>
      <c r="T92" s="1480"/>
      <c r="U92" s="1480"/>
      <c r="V92" s="1480"/>
      <c r="W92" s="1480"/>
      <c r="X92" s="1480"/>
      <c r="Y92" s="1480"/>
      <c r="Z92" s="1480"/>
      <c r="AA92" s="1480"/>
      <c r="AB92" s="1480"/>
      <c r="AC92" s="1480"/>
      <c r="AD92" s="1480"/>
      <c r="AE92" s="1480"/>
      <c r="AF92" s="1480"/>
      <c r="AG92" s="1480"/>
      <c r="AH92" s="1480"/>
      <c r="AI92" s="1480"/>
      <c r="AJ92" s="1480"/>
      <c r="AK92" s="1480"/>
    </row>
    <row r="93" spans="1:37">
      <c r="A93" s="4"/>
      <c r="C93" s="2"/>
      <c r="D93" s="4"/>
      <c r="E93" s="4"/>
      <c r="G93" s="1480"/>
      <c r="H93" s="1480"/>
      <c r="I93" s="1480"/>
      <c r="J93" s="1480"/>
      <c r="K93" s="1480"/>
      <c r="L93" s="1480"/>
      <c r="M93" s="1480"/>
      <c r="N93" s="1480"/>
      <c r="O93" s="1480"/>
      <c r="P93" s="1480"/>
      <c r="Q93" s="1480"/>
      <c r="R93" s="1480"/>
      <c r="S93" s="1480"/>
      <c r="T93" s="1480"/>
      <c r="U93" s="1480"/>
      <c r="V93" s="1480"/>
      <c r="W93" s="1480"/>
      <c r="X93" s="1480"/>
      <c r="Y93" s="1480"/>
      <c r="Z93" s="1480"/>
      <c r="AA93" s="1480"/>
      <c r="AB93" s="1480"/>
      <c r="AC93" s="1480"/>
      <c r="AD93" s="1480"/>
      <c r="AE93" s="1480"/>
      <c r="AF93" s="1480"/>
      <c r="AG93" s="1480"/>
      <c r="AH93" s="1480"/>
      <c r="AI93" s="1480"/>
      <c r="AJ93" s="1480"/>
      <c r="AK93" s="1480"/>
    </row>
    <row r="94" spans="1:37">
      <c r="A94" s="4"/>
      <c r="C94" s="2"/>
      <c r="D94" s="4"/>
      <c r="E94" s="4" t="s">
        <v>904</v>
      </c>
      <c r="F94" s="204" t="s">
        <v>905</v>
      </c>
      <c r="G94" s="204"/>
      <c r="L94" s="4"/>
      <c r="M94" s="4"/>
      <c r="P94" s="4"/>
      <c r="Q94" s="4"/>
      <c r="R94" s="4"/>
      <c r="S94" s="4"/>
      <c r="T94" s="4"/>
      <c r="U94" s="4"/>
      <c r="V94" s="4"/>
      <c r="W94" s="4"/>
      <c r="X94" s="4"/>
      <c r="Y94" s="4"/>
      <c r="Z94" s="4"/>
      <c r="AA94" s="4"/>
      <c r="AB94" s="4"/>
    </row>
    <row r="95" spans="1:37">
      <c r="A95" s="4"/>
      <c r="C95" s="2"/>
      <c r="D95" s="4"/>
      <c r="E95" s="4"/>
      <c r="G95" s="1480" t="s">
        <v>1174</v>
      </c>
      <c r="H95" s="1480"/>
      <c r="I95" s="1480"/>
      <c r="J95" s="1480"/>
      <c r="K95" s="1480"/>
      <c r="L95" s="1480"/>
      <c r="M95" s="1480"/>
      <c r="N95" s="1480"/>
      <c r="O95" s="1480"/>
      <c r="P95" s="1480"/>
      <c r="Q95" s="1480"/>
      <c r="R95" s="1480"/>
      <c r="S95" s="1480"/>
      <c r="T95" s="1480"/>
      <c r="U95" s="1480"/>
      <c r="V95" s="1480"/>
      <c r="W95" s="1480"/>
      <c r="X95" s="1480"/>
      <c r="Y95" s="1480"/>
      <c r="Z95" s="1480"/>
      <c r="AA95" s="1480"/>
      <c r="AB95" s="1480"/>
      <c r="AC95" s="1480"/>
      <c r="AD95" s="1480"/>
      <c r="AE95" s="1480"/>
      <c r="AF95" s="1480"/>
      <c r="AG95" s="1480"/>
      <c r="AH95" s="1480"/>
      <c r="AI95" s="1480"/>
      <c r="AJ95" s="1480"/>
      <c r="AK95" s="1480"/>
    </row>
    <row r="96" spans="1:37">
      <c r="A96" s="4"/>
      <c r="C96" s="2"/>
      <c r="D96" s="4"/>
      <c r="E96" s="4"/>
      <c r="G96" s="1480"/>
      <c r="H96" s="1480"/>
      <c r="I96" s="1480"/>
      <c r="J96" s="1480"/>
      <c r="K96" s="1480"/>
      <c r="L96" s="1480"/>
      <c r="M96" s="1480"/>
      <c r="N96" s="1480"/>
      <c r="O96" s="1480"/>
      <c r="P96" s="1480"/>
      <c r="Q96" s="1480"/>
      <c r="R96" s="1480"/>
      <c r="S96" s="1480"/>
      <c r="T96" s="1480"/>
      <c r="U96" s="1480"/>
      <c r="V96" s="1480"/>
      <c r="W96" s="1480"/>
      <c r="X96" s="1480"/>
      <c r="Y96" s="1480"/>
      <c r="Z96" s="1480"/>
      <c r="AA96" s="1480"/>
      <c r="AB96" s="1480"/>
      <c r="AC96" s="1480"/>
      <c r="AD96" s="1480"/>
      <c r="AE96" s="1480"/>
      <c r="AF96" s="1480"/>
      <c r="AG96" s="1480"/>
      <c r="AH96" s="1480"/>
      <c r="AI96" s="1480"/>
      <c r="AJ96" s="1480"/>
      <c r="AK96" s="1480"/>
    </row>
    <row r="97" spans="1:38">
      <c r="A97" s="4"/>
      <c r="C97" s="2"/>
      <c r="D97" s="4"/>
      <c r="E97" s="4"/>
      <c r="G97" s="1480"/>
      <c r="H97" s="1480"/>
      <c r="I97" s="1480"/>
      <c r="J97" s="1480"/>
      <c r="K97" s="1480"/>
      <c r="L97" s="1480"/>
      <c r="M97" s="1480"/>
      <c r="N97" s="1480"/>
      <c r="O97" s="1480"/>
      <c r="P97" s="1480"/>
      <c r="Q97" s="1480"/>
      <c r="R97" s="1480"/>
      <c r="S97" s="1480"/>
      <c r="T97" s="1480"/>
      <c r="U97" s="1480"/>
      <c r="V97" s="1480"/>
      <c r="W97" s="1480"/>
      <c r="X97" s="1480"/>
      <c r="Y97" s="1480"/>
      <c r="Z97" s="1480"/>
      <c r="AA97" s="1480"/>
      <c r="AB97" s="1480"/>
      <c r="AC97" s="1480"/>
      <c r="AD97" s="1480"/>
      <c r="AE97" s="1480"/>
      <c r="AF97" s="1480"/>
      <c r="AG97" s="1480"/>
      <c r="AH97" s="1480"/>
      <c r="AI97" s="1480"/>
      <c r="AJ97" s="1480"/>
      <c r="AK97" s="1480"/>
    </row>
    <row r="98" spans="1:38">
      <c r="A98" s="4"/>
      <c r="D98" s="99"/>
      <c r="E98" s="1800" t="s">
        <v>1175</v>
      </c>
      <c r="F98" s="1800"/>
      <c r="G98" s="1800"/>
      <c r="H98" s="1800"/>
      <c r="I98" s="1800"/>
      <c r="J98" s="1800"/>
      <c r="K98" s="1800"/>
      <c r="L98" s="1800"/>
      <c r="M98" s="1800"/>
      <c r="N98" s="1800"/>
      <c r="O98" s="1800"/>
      <c r="P98" s="1800"/>
      <c r="Q98" s="1800"/>
      <c r="R98" s="1800"/>
      <c r="S98" s="1800"/>
      <c r="T98" s="1800"/>
      <c r="U98" s="1800"/>
      <c r="V98" s="1800"/>
      <c r="W98" s="1800"/>
      <c r="X98" s="1800"/>
      <c r="Y98" s="1800"/>
      <c r="Z98" s="1800"/>
      <c r="AA98" s="1800"/>
      <c r="AB98" s="1800"/>
      <c r="AC98" s="1800"/>
      <c r="AD98" s="1800"/>
      <c r="AE98" s="1800"/>
      <c r="AF98" s="1800"/>
      <c r="AG98" s="1800"/>
      <c r="AH98" s="1800"/>
      <c r="AI98" s="1800"/>
      <c r="AJ98" s="1800"/>
      <c r="AK98" s="1800"/>
    </row>
    <row r="99" spans="1:38">
      <c r="A99" s="4"/>
      <c r="D99" s="99"/>
      <c r="E99" s="1800"/>
      <c r="F99" s="1800"/>
      <c r="G99" s="1800"/>
      <c r="H99" s="1800"/>
      <c r="I99" s="1800"/>
      <c r="J99" s="1800"/>
      <c r="K99" s="1800"/>
      <c r="L99" s="1800"/>
      <c r="M99" s="1800"/>
      <c r="N99" s="1800"/>
      <c r="O99" s="1800"/>
      <c r="P99" s="1800"/>
      <c r="Q99" s="1800"/>
      <c r="R99" s="1800"/>
      <c r="S99" s="1800"/>
      <c r="T99" s="1800"/>
      <c r="U99" s="1800"/>
      <c r="V99" s="1800"/>
      <c r="W99" s="1800"/>
      <c r="X99" s="1800"/>
      <c r="Y99" s="1800"/>
      <c r="Z99" s="1800"/>
      <c r="AA99" s="1800"/>
      <c r="AB99" s="1800"/>
      <c r="AC99" s="1800"/>
      <c r="AD99" s="1800"/>
      <c r="AE99" s="1800"/>
      <c r="AF99" s="1800"/>
      <c r="AG99" s="1800"/>
      <c r="AH99" s="1800"/>
      <c r="AI99" s="1800"/>
      <c r="AJ99" s="1800"/>
      <c r="AK99" s="1800"/>
    </row>
    <row r="100" spans="1:38">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c r="A101" s="5"/>
      <c r="B101" s="11" t="s">
        <v>340</v>
      </c>
      <c r="C101" s="11" t="s">
        <v>421</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c r="B102" s="2"/>
      <c r="C102" s="2"/>
      <c r="D102" s="2"/>
      <c r="E102" s="2"/>
      <c r="F102" s="2"/>
      <c r="G102" s="2"/>
      <c r="H102" s="2"/>
      <c r="I102" s="2"/>
      <c r="J102" s="2"/>
      <c r="K102" s="2"/>
    </row>
    <row r="103" spans="1:38">
      <c r="B103" s="2"/>
      <c r="C103" s="2" t="s">
        <v>430</v>
      </c>
      <c r="E103" s="2"/>
      <c r="F103" s="2"/>
      <c r="G103" s="2" t="s">
        <v>1186</v>
      </c>
      <c r="H103" s="2"/>
      <c r="I103" s="2"/>
      <c r="K103" s="2"/>
    </row>
    <row r="104" spans="1:38">
      <c r="B104" s="2"/>
      <c r="C104" s="2"/>
      <c r="D104" s="2" t="s">
        <v>207</v>
      </c>
      <c r="E104" s="2" t="s">
        <v>1188</v>
      </c>
      <c r="F104" s="2"/>
      <c r="G104" s="2"/>
      <c r="H104" s="2"/>
      <c r="I104" s="2"/>
      <c r="J104" s="2"/>
      <c r="K104" s="2"/>
      <c r="L104" s="2"/>
      <c r="M104" s="2"/>
    </row>
    <row r="105" spans="1:38">
      <c r="B105" s="2"/>
      <c r="C105" s="2"/>
      <c r="E105" s="4" t="s">
        <v>112</v>
      </c>
      <c r="F105" s="98" t="s">
        <v>652</v>
      </c>
      <c r="G105" s="2"/>
      <c r="H105" s="2"/>
      <c r="I105" s="2"/>
      <c r="J105" s="2"/>
      <c r="K105" s="2"/>
    </row>
    <row r="106" spans="1:38">
      <c r="E106" s="4"/>
      <c r="F106" t="s">
        <v>654</v>
      </c>
    </row>
    <row r="107" spans="1:38">
      <c r="E107" s="4"/>
      <c r="F107" t="s">
        <v>655</v>
      </c>
    </row>
    <row r="108" spans="1:38">
      <c r="E108" s="4"/>
    </row>
    <row r="109" spans="1:38">
      <c r="E109" s="4" t="s">
        <v>113</v>
      </c>
      <c r="F109" s="98" t="s">
        <v>656</v>
      </c>
      <c r="G109" s="2"/>
      <c r="H109" s="2"/>
      <c r="I109" s="2"/>
      <c r="J109" s="2"/>
    </row>
    <row r="110" spans="1:38">
      <c r="E110" s="4"/>
      <c r="F110" t="s">
        <v>657</v>
      </c>
    </row>
    <row r="111" spans="1:38">
      <c r="E111" s="4"/>
    </row>
    <row r="112" spans="1:38">
      <c r="E112" s="4" t="s">
        <v>119</v>
      </c>
      <c r="F112" s="98" t="s">
        <v>658</v>
      </c>
      <c r="G112" s="2"/>
      <c r="H112" s="2"/>
      <c r="I112" s="2"/>
      <c r="J112" s="2"/>
      <c r="K112" s="2"/>
      <c r="L112" s="2"/>
      <c r="M112" s="2"/>
      <c r="N112" s="2"/>
      <c r="O112" s="2"/>
      <c r="P112" s="2"/>
    </row>
    <row r="113" spans="2:10">
      <c r="E113" s="4"/>
      <c r="F113" s="4" t="s">
        <v>921</v>
      </c>
    </row>
    <row r="114" spans="2:10" ht="12.75" customHeight="1">
      <c r="F114" s="4" t="s">
        <v>951</v>
      </c>
    </row>
    <row r="115" spans="2:10"/>
    <row r="116" spans="2:10">
      <c r="E116" t="s">
        <v>581</v>
      </c>
      <c r="F116" s="98" t="s">
        <v>922</v>
      </c>
    </row>
    <row r="117" spans="2:10">
      <c r="F117" s="4" t="s">
        <v>1015</v>
      </c>
      <c r="G117" s="4"/>
    </row>
    <row r="118" spans="2:10">
      <c r="F118" s="99" t="s">
        <v>1187</v>
      </c>
      <c r="G118" s="99"/>
    </row>
    <row r="119" spans="2:10">
      <c r="G119" s="99"/>
    </row>
    <row r="120" spans="2:10">
      <c r="E120" s="4" t="s">
        <v>763</v>
      </c>
      <c r="F120" s="98" t="s">
        <v>378</v>
      </c>
    </row>
    <row r="121" spans="2:10">
      <c r="E121" s="4"/>
      <c r="F121" s="4" t="s">
        <v>1007</v>
      </c>
    </row>
    <row r="122" spans="2:10">
      <c r="B122" s="2"/>
      <c r="C122" s="2"/>
      <c r="F122" s="2"/>
    </row>
    <row r="123" spans="2:10">
      <c r="B123" s="2"/>
      <c r="C123" s="2" t="s">
        <v>431</v>
      </c>
      <c r="G123" s="2" t="s">
        <v>379</v>
      </c>
    </row>
    <row r="124" spans="2:10">
      <c r="B124" s="2"/>
      <c r="C124" s="2"/>
      <c r="D124" s="2" t="s">
        <v>207</v>
      </c>
      <c r="E124" s="2" t="s">
        <v>320</v>
      </c>
      <c r="F124" s="2"/>
      <c r="G124" s="2"/>
      <c r="H124" s="2"/>
      <c r="I124" s="2"/>
      <c r="J124" s="2"/>
    </row>
    <row r="125" spans="2:10">
      <c r="B125" s="2"/>
      <c r="C125" s="2"/>
      <c r="E125" s="4" t="s">
        <v>923</v>
      </c>
      <c r="F125" s="4"/>
    </row>
    <row r="126" spans="2:10"/>
    <row r="127" spans="2:10">
      <c r="D127" s="2" t="s">
        <v>341</v>
      </c>
      <c r="E127" s="2" t="s">
        <v>577</v>
      </c>
    </row>
    <row r="128" spans="2:10">
      <c r="E128" s="4" t="s">
        <v>923</v>
      </c>
      <c r="F128" s="4"/>
    </row>
    <row r="129" spans="4:37"/>
    <row r="130" spans="4:37">
      <c r="D130" s="2" t="s">
        <v>574</v>
      </c>
      <c r="E130" s="2" t="s">
        <v>724</v>
      </c>
      <c r="G130" s="2"/>
      <c r="H130" s="2"/>
      <c r="I130" s="2"/>
      <c r="J130" s="2"/>
      <c r="K130" s="2"/>
      <c r="L130" s="2"/>
      <c r="M130" s="2"/>
      <c r="N130" s="2"/>
    </row>
    <row r="131" spans="4:37">
      <c r="D131" s="2"/>
      <c r="E131" s="119" t="s">
        <v>1257</v>
      </c>
      <c r="G131" s="2"/>
      <c r="H131" s="2"/>
      <c r="I131" s="2"/>
      <c r="J131" s="2"/>
      <c r="K131" s="2"/>
      <c r="L131" s="2"/>
      <c r="M131" s="2"/>
      <c r="N131" s="2"/>
    </row>
    <row r="132" spans="4:37" ht="12.75" customHeight="1">
      <c r="E132" s="119" t="s">
        <v>1255</v>
      </c>
      <c r="F132" s="455"/>
      <c r="G132" s="455"/>
      <c r="H132" s="455"/>
      <c r="I132" s="455"/>
      <c r="J132" s="455"/>
      <c r="K132" s="455"/>
      <c r="L132" s="455"/>
      <c r="M132" s="455"/>
      <c r="N132" s="455"/>
      <c r="O132" s="455"/>
      <c r="P132" s="455"/>
      <c r="Q132" s="455"/>
      <c r="R132" s="455"/>
      <c r="S132" s="455"/>
      <c r="T132" s="455"/>
      <c r="U132" s="455"/>
      <c r="V132" s="455"/>
      <c r="W132" s="455"/>
      <c r="X132" s="455"/>
      <c r="Y132" s="455"/>
      <c r="Z132" s="455"/>
      <c r="AA132" s="455"/>
      <c r="AB132" s="455"/>
      <c r="AC132" s="455"/>
      <c r="AD132" s="455"/>
      <c r="AE132" s="455"/>
      <c r="AF132" s="455"/>
      <c r="AG132" s="455"/>
      <c r="AH132" s="455"/>
      <c r="AI132" s="455"/>
      <c r="AJ132" s="455"/>
      <c r="AK132" s="455"/>
    </row>
    <row r="133" spans="4:37">
      <c r="E133" s="119" t="s">
        <v>1256</v>
      </c>
      <c r="F133" s="455"/>
      <c r="G133" s="455"/>
      <c r="H133" s="455"/>
      <c r="I133" s="455"/>
      <c r="J133" s="455"/>
      <c r="K133" s="455"/>
      <c r="L133" s="455"/>
      <c r="M133" s="455"/>
      <c r="N133" s="455"/>
      <c r="O133" s="455"/>
      <c r="P133" s="455"/>
      <c r="Q133" s="455"/>
      <c r="R133" s="455"/>
      <c r="S133" s="455"/>
      <c r="T133" s="455"/>
      <c r="U133" s="455"/>
      <c r="V133" s="455"/>
      <c r="W133" s="455"/>
      <c r="X133" s="455"/>
      <c r="Y133" s="455"/>
      <c r="Z133" s="455"/>
      <c r="AA133" s="455"/>
      <c r="AB133" s="455"/>
      <c r="AC133" s="455"/>
      <c r="AD133" s="455"/>
      <c r="AE133" s="455"/>
      <c r="AF133" s="455"/>
      <c r="AG133" s="455"/>
      <c r="AH133" s="455"/>
      <c r="AI133" s="455"/>
      <c r="AJ133" s="455"/>
      <c r="AK133" s="455"/>
    </row>
    <row r="134" spans="4:37">
      <c r="F134" s="4"/>
    </row>
    <row r="135" spans="4:37">
      <c r="D135" s="2" t="s">
        <v>514</v>
      </c>
      <c r="E135" s="2" t="s">
        <v>517</v>
      </c>
      <c r="F135" s="2"/>
    </row>
    <row r="136" spans="4:37">
      <c r="E136" s="3" t="s">
        <v>1213</v>
      </c>
      <c r="F136" s="4"/>
    </row>
    <row r="137" spans="4:37">
      <c r="F137" s="4"/>
    </row>
    <row r="138" spans="4:37">
      <c r="D138" s="2" t="s">
        <v>303</v>
      </c>
      <c r="E138" s="2" t="s">
        <v>2000</v>
      </c>
      <c r="F138" s="2"/>
      <c r="G138" s="2"/>
      <c r="H138" s="2"/>
    </row>
    <row r="139" spans="4:37">
      <c r="E139" t="s">
        <v>112</v>
      </c>
      <c r="F139" t="s">
        <v>52</v>
      </c>
    </row>
    <row r="140" spans="4:37">
      <c r="E140" t="s">
        <v>113</v>
      </c>
      <c r="F140" t="s">
        <v>466</v>
      </c>
    </row>
    <row r="141" spans="4:37"/>
    <row r="142" spans="4:37">
      <c r="D142" s="2" t="s">
        <v>429</v>
      </c>
      <c r="E142" s="2" t="s">
        <v>2001</v>
      </c>
    </row>
    <row r="143" spans="4:37">
      <c r="E143" s="204" t="s">
        <v>2002</v>
      </c>
      <c r="F143" s="204"/>
    </row>
    <row r="144" spans="4:37"/>
    <row r="145" spans="3:7">
      <c r="C145" s="2" t="s">
        <v>6</v>
      </c>
      <c r="G145" s="2" t="s">
        <v>380</v>
      </c>
    </row>
    <row r="146" spans="3:7">
      <c r="D146" s="2" t="s">
        <v>207</v>
      </c>
      <c r="E146" s="2" t="s">
        <v>135</v>
      </c>
    </row>
    <row r="147" spans="3:7">
      <c r="E147" t="s">
        <v>797</v>
      </c>
    </row>
    <row r="148" spans="3:7"/>
    <row r="149" spans="3:7">
      <c r="D149" s="2" t="s">
        <v>341</v>
      </c>
      <c r="E149" s="2" t="s">
        <v>524</v>
      </c>
      <c r="F149" s="2"/>
    </row>
    <row r="150" spans="3:7">
      <c r="E150" s="4" t="s">
        <v>925</v>
      </c>
      <c r="F150" s="4"/>
    </row>
    <row r="151" spans="3:7"/>
    <row r="152" spans="3:7">
      <c r="D152" s="2" t="s">
        <v>574</v>
      </c>
      <c r="E152" s="2" t="s">
        <v>553</v>
      </c>
    </row>
    <row r="153" spans="3:7">
      <c r="E153" s="4" t="s">
        <v>926</v>
      </c>
    </row>
    <row r="154" spans="3:7">
      <c r="E154" s="4" t="s">
        <v>924</v>
      </c>
      <c r="G154" s="4"/>
    </row>
    <row r="155" spans="3:7"/>
    <row r="156" spans="3:7">
      <c r="D156" s="2" t="s">
        <v>514</v>
      </c>
      <c r="E156" s="2" t="s">
        <v>533</v>
      </c>
    </row>
    <row r="157" spans="3:7">
      <c r="E157" t="s">
        <v>112</v>
      </c>
      <c r="F157" s="4" t="s">
        <v>927</v>
      </c>
    </row>
    <row r="158" spans="3:7">
      <c r="E158" s="4" t="s">
        <v>113</v>
      </c>
      <c r="F158" s="4" t="s">
        <v>928</v>
      </c>
    </row>
    <row r="159" spans="3:7">
      <c r="E159" s="4" t="s">
        <v>119</v>
      </c>
      <c r="F159" t="s">
        <v>725</v>
      </c>
    </row>
    <row r="160" spans="3:7"/>
    <row r="161" spans="3:20">
      <c r="D161" s="2" t="s">
        <v>303</v>
      </c>
      <c r="E161" s="2" t="s">
        <v>381</v>
      </c>
    </row>
    <row r="162" spans="3:20">
      <c r="E162" s="4" t="s">
        <v>929</v>
      </c>
      <c r="F162" s="4"/>
    </row>
    <row r="163" spans="3:20"/>
    <row r="164" spans="3:20">
      <c r="D164" s="2" t="s">
        <v>429</v>
      </c>
      <c r="E164" s="2" t="s">
        <v>172</v>
      </c>
    </row>
    <row r="165" spans="3:20">
      <c r="E165" s="4" t="s">
        <v>931</v>
      </c>
    </row>
    <row r="166" spans="3:20">
      <c r="E166" s="4" t="s">
        <v>930</v>
      </c>
    </row>
    <row r="167" spans="3:20"/>
    <row r="168" spans="3:20">
      <c r="D168" s="2" t="s">
        <v>557</v>
      </c>
      <c r="E168" s="2" t="s">
        <v>622</v>
      </c>
    </row>
    <row r="169" spans="3:20">
      <c r="E169" t="s">
        <v>112</v>
      </c>
      <c r="F169" t="s">
        <v>726</v>
      </c>
    </row>
    <row r="170" spans="3:20">
      <c r="E170" t="s">
        <v>113</v>
      </c>
      <c r="F170" t="s">
        <v>297</v>
      </c>
    </row>
    <row r="171" spans="3:20">
      <c r="F171" s="4"/>
    </row>
    <row r="172" spans="3:20">
      <c r="C172" s="2" t="s">
        <v>7</v>
      </c>
      <c r="E172" s="4"/>
      <c r="G172" s="2" t="s">
        <v>382</v>
      </c>
    </row>
    <row r="173" spans="3:20">
      <c r="E173" s="4" t="s">
        <v>867</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c r="C175" s="2" t="s">
        <v>8</v>
      </c>
      <c r="D175" s="2"/>
      <c r="F175" s="4"/>
      <c r="G175" s="2" t="s">
        <v>577</v>
      </c>
    </row>
    <row r="176" spans="3:20">
      <c r="D176" s="2" t="s">
        <v>207</v>
      </c>
      <c r="E176" s="2" t="s">
        <v>298</v>
      </c>
      <c r="G176" s="4"/>
      <c r="H176" s="4"/>
      <c r="I176" s="4"/>
      <c r="J176" s="4"/>
      <c r="K176" s="4"/>
      <c r="L176" s="4"/>
      <c r="M176" s="4"/>
      <c r="N176" s="4"/>
    </row>
    <row r="177" spans="2:19">
      <c r="E177" t="s">
        <v>112</v>
      </c>
      <c r="F177" s="4" t="s">
        <v>932</v>
      </c>
    </row>
    <row r="178" spans="2:19">
      <c r="F178" s="120" t="s">
        <v>1148</v>
      </c>
      <c r="I178" s="120"/>
    </row>
    <row r="179" spans="2:19">
      <c r="I179" s="120"/>
    </row>
    <row r="180" spans="2:19">
      <c r="B180" s="4"/>
      <c r="C180" s="4"/>
      <c r="E180" t="s">
        <v>113</v>
      </c>
      <c r="F180" s="3" t="s">
        <v>868</v>
      </c>
      <c r="H180" s="4"/>
    </row>
    <row r="181" spans="2:19">
      <c r="B181" s="4"/>
      <c r="C181" s="4"/>
      <c r="F181" t="s">
        <v>653</v>
      </c>
      <c r="G181" t="s">
        <v>708</v>
      </c>
      <c r="H181" s="4"/>
      <c r="O181" s="4"/>
      <c r="P181" s="4"/>
      <c r="Q181" s="4"/>
      <c r="R181" s="4"/>
      <c r="S181" s="4"/>
    </row>
    <row r="182" spans="2:19">
      <c r="B182" s="4"/>
      <c r="C182" s="4"/>
      <c r="H182" s="4"/>
      <c r="O182" s="4"/>
      <c r="P182" s="4"/>
      <c r="Q182" s="4"/>
      <c r="R182" s="4"/>
      <c r="S182" s="4"/>
    </row>
    <row r="183" spans="2:19">
      <c r="D183" s="2" t="s">
        <v>341</v>
      </c>
      <c r="E183" s="2" t="s">
        <v>1008</v>
      </c>
    </row>
    <row r="184" spans="2:19">
      <c r="B184" s="4"/>
      <c r="C184" s="4"/>
      <c r="E184" s="4" t="s">
        <v>709</v>
      </c>
      <c r="F184" s="4"/>
      <c r="I184" s="4"/>
    </row>
    <row r="185" spans="2:19">
      <c r="B185" s="4"/>
      <c r="C185" s="4"/>
      <c r="E185" s="4" t="s">
        <v>1006</v>
      </c>
      <c r="F185" s="120"/>
      <c r="G185" s="4"/>
      <c r="I185" s="120"/>
    </row>
    <row r="186" spans="2:19">
      <c r="B186" s="4"/>
      <c r="C186" s="4"/>
      <c r="F186" s="120"/>
      <c r="G186" s="4"/>
      <c r="I186" s="120"/>
    </row>
    <row r="187" spans="2:19">
      <c r="B187" s="4"/>
      <c r="C187" s="4"/>
      <c r="D187" s="2" t="s">
        <v>574</v>
      </c>
      <c r="E187" s="2" t="s">
        <v>3</v>
      </c>
      <c r="F187" s="120"/>
      <c r="G187" s="4"/>
      <c r="I187" s="120"/>
    </row>
    <row r="188" spans="2:19">
      <c r="B188" s="4"/>
      <c r="C188" s="4"/>
      <c r="D188" s="2"/>
      <c r="E188" s="4" t="s">
        <v>299</v>
      </c>
      <c r="F188" s="4"/>
      <c r="G188" s="4"/>
      <c r="I188" s="120"/>
    </row>
    <row r="189" spans="2:19">
      <c r="B189" s="4"/>
      <c r="C189" s="4"/>
      <c r="F189" s="120"/>
      <c r="G189" s="4"/>
      <c r="I189" s="120"/>
    </row>
    <row r="190" spans="2:19">
      <c r="D190" s="2" t="s">
        <v>514</v>
      </c>
      <c r="E190" s="2" t="s">
        <v>111</v>
      </c>
    </row>
    <row r="191" spans="2:19">
      <c r="B191" s="4"/>
      <c r="C191" s="2"/>
      <c r="E191" t="s">
        <v>112</v>
      </c>
      <c r="F191" s="4" t="s">
        <v>1016</v>
      </c>
      <c r="G191" s="4"/>
      <c r="H191" s="4"/>
      <c r="I191" s="4"/>
    </row>
    <row r="192" spans="2:19">
      <c r="B192" s="4"/>
      <c r="C192" s="2"/>
      <c r="F192" s="4" t="s">
        <v>653</v>
      </c>
      <c r="G192" s="3" t="s">
        <v>1207</v>
      </c>
    </row>
    <row r="193" spans="2:37">
      <c r="B193" s="4"/>
      <c r="C193" s="4"/>
      <c r="F193" s="4" t="s">
        <v>348</v>
      </c>
      <c r="G193" s="3" t="s">
        <v>1208</v>
      </c>
      <c r="I193" s="4"/>
      <c r="J193" s="4"/>
      <c r="M193" s="4"/>
      <c r="N193" s="4"/>
      <c r="O193" s="4"/>
      <c r="P193" s="4"/>
      <c r="Q193" s="4"/>
      <c r="R193" s="4"/>
      <c r="S193" s="4"/>
    </row>
    <row r="194" spans="2:37">
      <c r="B194" s="4"/>
      <c r="C194" s="4"/>
      <c r="F194" s="4" t="s">
        <v>349</v>
      </c>
      <c r="G194" s="4" t="s">
        <v>933</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c r="B196" s="4"/>
      <c r="C196" s="4"/>
      <c r="D196" s="2" t="s">
        <v>303</v>
      </c>
      <c r="E196" s="2" t="s">
        <v>114</v>
      </c>
      <c r="G196" s="4"/>
      <c r="H196" s="4"/>
      <c r="I196" s="4"/>
      <c r="J196" s="4"/>
      <c r="M196" s="4"/>
      <c r="N196" s="4"/>
      <c r="O196" s="4"/>
      <c r="P196" s="4"/>
      <c r="Q196" s="4"/>
      <c r="R196" s="4"/>
      <c r="S196" s="4"/>
    </row>
    <row r="197" spans="2:37">
      <c r="B197" s="4"/>
      <c r="C197" s="4"/>
      <c r="D197" s="4"/>
      <c r="E197" s="4" t="s">
        <v>934</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c r="B199" s="4"/>
      <c r="C199" s="4"/>
      <c r="D199" s="2" t="s">
        <v>429</v>
      </c>
      <c r="E199" s="2" t="s">
        <v>120</v>
      </c>
      <c r="G199" s="4"/>
      <c r="H199" s="4"/>
      <c r="I199" s="4"/>
      <c r="J199" s="4"/>
      <c r="M199" s="4"/>
      <c r="N199" s="4"/>
      <c r="O199" s="4"/>
      <c r="P199" s="4"/>
      <c r="Q199" s="4"/>
      <c r="R199" s="4"/>
      <c r="S199" s="4"/>
    </row>
    <row r="200" spans="2:37">
      <c r="B200" s="4"/>
      <c r="C200" s="4"/>
      <c r="D200" s="2"/>
      <c r="E200" s="4" t="s">
        <v>112</v>
      </c>
      <c r="F200" s="4" t="s">
        <v>935</v>
      </c>
      <c r="M200" s="4"/>
      <c r="N200" s="4"/>
      <c r="O200" s="4"/>
      <c r="P200" s="4"/>
      <c r="Q200" s="4"/>
      <c r="R200" s="4"/>
      <c r="S200" s="4"/>
    </row>
    <row r="201" spans="2:37">
      <c r="B201" s="4"/>
      <c r="C201" s="4"/>
      <c r="D201" s="2"/>
      <c r="E201" s="4" t="s">
        <v>113</v>
      </c>
      <c r="F201" s="4" t="s">
        <v>1017</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c r="B202" s="4"/>
      <c r="C202" s="4"/>
      <c r="D202" s="2"/>
      <c r="E202" s="4" t="s">
        <v>119</v>
      </c>
      <c r="F202" s="4" t="s">
        <v>710</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653</v>
      </c>
      <c r="G203" s="4" t="s">
        <v>936</v>
      </c>
      <c r="I203" s="4"/>
      <c r="J203" s="4"/>
      <c r="M203" s="4"/>
      <c r="N203" s="4"/>
      <c r="O203" s="4"/>
      <c r="P203" s="4"/>
      <c r="Q203" s="4"/>
      <c r="R203" s="4"/>
      <c r="S203" s="4"/>
      <c r="T203" s="4"/>
      <c r="U203" s="4"/>
      <c r="V203" s="4"/>
      <c r="W203" s="4"/>
      <c r="X203" s="4"/>
      <c r="Y203" s="4"/>
    </row>
    <row r="204" spans="2:37">
      <c r="B204" s="4"/>
      <c r="C204" s="4"/>
      <c r="D204" s="2"/>
      <c r="E204" s="4" t="s">
        <v>581</v>
      </c>
      <c r="F204" s="4" t="s">
        <v>937</v>
      </c>
      <c r="M204" s="4"/>
      <c r="N204" s="4"/>
      <c r="O204" s="4"/>
      <c r="P204" s="4"/>
      <c r="Q204" s="4"/>
      <c r="R204" s="4"/>
      <c r="S204" s="4"/>
    </row>
    <row r="205" spans="2:37">
      <c r="B205" s="4"/>
      <c r="C205" s="4"/>
      <c r="D205" s="2"/>
      <c r="F205" t="s">
        <v>653</v>
      </c>
      <c r="G205" s="1480" t="s">
        <v>1176</v>
      </c>
      <c r="H205" s="1480"/>
      <c r="I205" s="1480"/>
      <c r="J205" s="1480"/>
      <c r="K205" s="1480"/>
      <c r="L205" s="1480"/>
      <c r="M205" s="1480"/>
      <c r="N205" s="1480"/>
      <c r="O205" s="1480"/>
      <c r="P205" s="1480"/>
      <c r="Q205" s="1480"/>
      <c r="R205" s="1480"/>
      <c r="S205" s="1480"/>
      <c r="T205" s="1480"/>
      <c r="U205" s="1480"/>
      <c r="V205" s="1480"/>
      <c r="W205" s="1480"/>
      <c r="X205" s="1480"/>
      <c r="Y205" s="1480"/>
      <c r="Z205" s="1480"/>
      <c r="AA205" s="1480"/>
      <c r="AB205" s="1480"/>
      <c r="AC205" s="1480"/>
      <c r="AD205" s="1480"/>
      <c r="AE205" s="1480"/>
      <c r="AF205" s="1480"/>
      <c r="AG205" s="1480"/>
      <c r="AH205" s="1480"/>
      <c r="AI205" s="1480"/>
      <c r="AJ205" s="1480"/>
      <c r="AK205" s="1480"/>
    </row>
    <row r="206" spans="2:37">
      <c r="B206" s="4"/>
      <c r="C206" s="4"/>
      <c r="D206" s="2"/>
      <c r="G206" s="1480"/>
      <c r="H206" s="1480"/>
      <c r="I206" s="1480"/>
      <c r="J206" s="1480"/>
      <c r="K206" s="1480"/>
      <c r="L206" s="1480"/>
      <c r="M206" s="1480"/>
      <c r="N206" s="1480"/>
      <c r="O206" s="1480"/>
      <c r="P206" s="1480"/>
      <c r="Q206" s="1480"/>
      <c r="R206" s="1480"/>
      <c r="S206" s="1480"/>
      <c r="T206" s="1480"/>
      <c r="U206" s="1480"/>
      <c r="V206" s="1480"/>
      <c r="W206" s="1480"/>
      <c r="X206" s="1480"/>
      <c r="Y206" s="1480"/>
      <c r="Z206" s="1480"/>
      <c r="AA206" s="1480"/>
      <c r="AB206" s="1480"/>
      <c r="AC206" s="1480"/>
      <c r="AD206" s="1480"/>
      <c r="AE206" s="1480"/>
      <c r="AF206" s="1480"/>
      <c r="AG206" s="1480"/>
      <c r="AH206" s="1480"/>
      <c r="AI206" s="1480"/>
      <c r="AJ206" s="1480"/>
      <c r="AK206" s="1480"/>
    </row>
    <row r="207" spans="2:37">
      <c r="B207" s="4"/>
      <c r="C207" s="4"/>
      <c r="D207" s="2"/>
      <c r="M207" s="4"/>
      <c r="N207" s="4"/>
      <c r="O207" s="4"/>
      <c r="P207" s="4"/>
      <c r="Q207" s="4"/>
      <c r="R207" s="4"/>
      <c r="S207" s="4"/>
    </row>
    <row r="208" spans="2:37">
      <c r="B208" s="4"/>
      <c r="C208" s="4"/>
      <c r="D208" s="2" t="s">
        <v>557</v>
      </c>
      <c r="E208" s="2" t="s">
        <v>764</v>
      </c>
      <c r="G208" s="4"/>
      <c r="H208" s="4"/>
      <c r="I208" s="4"/>
      <c r="J208" s="4"/>
      <c r="M208" s="4"/>
      <c r="N208" s="4"/>
      <c r="O208" s="4"/>
      <c r="P208" s="4"/>
      <c r="Q208" s="4"/>
      <c r="R208" s="4"/>
      <c r="S208" s="4"/>
      <c r="T208" s="4"/>
      <c r="U208" s="4"/>
      <c r="V208" s="4"/>
      <c r="W208" s="4"/>
    </row>
    <row r="209" spans="1:38">
      <c r="B209" s="4"/>
      <c r="C209" s="4"/>
      <c r="E209" s="4" t="s">
        <v>711</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c r="B211" s="4"/>
      <c r="C211" s="4"/>
      <c r="D211" s="2" t="s">
        <v>555</v>
      </c>
      <c r="E211" s="2" t="s">
        <v>248</v>
      </c>
      <c r="F211" s="4"/>
      <c r="G211" s="4"/>
      <c r="I211" s="4"/>
      <c r="J211" s="4"/>
      <c r="M211" s="4"/>
      <c r="N211" s="4"/>
      <c r="O211" s="4"/>
      <c r="P211" s="4"/>
      <c r="Q211" s="4"/>
      <c r="R211" s="4"/>
      <c r="S211" s="4"/>
      <c r="T211" s="4"/>
      <c r="U211" s="4"/>
      <c r="V211" s="4"/>
      <c r="W211" s="4"/>
    </row>
    <row r="212" spans="1:38">
      <c r="B212" s="4"/>
      <c r="C212" s="4"/>
      <c r="D212" s="2"/>
      <c r="E212" s="4" t="s">
        <v>299</v>
      </c>
      <c r="F212" s="4"/>
      <c r="G212" s="4"/>
      <c r="I212" s="4"/>
      <c r="J212" s="4"/>
      <c r="M212" s="4"/>
      <c r="N212" s="4"/>
      <c r="O212" s="4"/>
      <c r="P212" s="4"/>
      <c r="Q212" s="4"/>
      <c r="R212" s="4"/>
      <c r="S212" s="4"/>
      <c r="T212" s="4"/>
      <c r="U212" s="4"/>
      <c r="V212" s="4"/>
      <c r="W212" s="4"/>
    </row>
    <row r="213" spans="1:38">
      <c r="B213" s="4"/>
      <c r="C213" s="4"/>
      <c r="D213" s="2"/>
      <c r="M213" s="4"/>
      <c r="N213" s="4"/>
      <c r="O213" s="4"/>
      <c r="P213" s="4"/>
      <c r="Q213" s="4"/>
      <c r="R213" s="4"/>
      <c r="S213" s="4"/>
    </row>
    <row r="214" spans="1:38">
      <c r="C214" s="2" t="s">
        <v>712</v>
      </c>
      <c r="D214" s="2"/>
      <c r="G214" s="2" t="s">
        <v>809</v>
      </c>
      <c r="M214" s="4"/>
      <c r="N214" s="4"/>
      <c r="O214" s="4"/>
      <c r="P214" s="4"/>
      <c r="Q214" s="4"/>
      <c r="R214" s="4"/>
      <c r="S214" s="4"/>
    </row>
    <row r="215" spans="1:38">
      <c r="B215" s="4"/>
      <c r="C215" s="4"/>
      <c r="E215" t="s">
        <v>112</v>
      </c>
      <c r="F215" s="4" t="s">
        <v>808</v>
      </c>
      <c r="G215" s="4"/>
      <c r="H215" s="4"/>
      <c r="I215" s="4"/>
      <c r="L215" s="4"/>
      <c r="N215" s="4"/>
      <c r="O215" s="4"/>
      <c r="P215" s="4"/>
      <c r="Q215" s="4"/>
      <c r="R215" s="4"/>
      <c r="S215" s="4"/>
    </row>
    <row r="216" spans="1:38">
      <c r="B216" s="4"/>
      <c r="C216" s="4"/>
      <c r="F216" s="4" t="s">
        <v>653</v>
      </c>
      <c r="G216" s="4" t="s">
        <v>715</v>
      </c>
      <c r="I216" s="4"/>
      <c r="M216" s="4"/>
      <c r="N216" s="4"/>
      <c r="O216" s="4"/>
      <c r="P216" s="4"/>
      <c r="Q216" s="4"/>
      <c r="R216" s="4"/>
      <c r="S216" s="4"/>
    </row>
    <row r="217" spans="1:38">
      <c r="B217" s="4"/>
      <c r="C217" s="4"/>
      <c r="E217" t="s">
        <v>113</v>
      </c>
      <c r="F217" s="4" t="s">
        <v>400</v>
      </c>
      <c r="G217" s="4"/>
      <c r="H217" s="4"/>
      <c r="I217" s="4"/>
      <c r="M217" s="4"/>
      <c r="N217" s="4"/>
      <c r="O217" s="4"/>
      <c r="P217" s="4"/>
      <c r="Q217" s="4"/>
      <c r="R217" s="4"/>
      <c r="S217" s="4"/>
    </row>
    <row r="218" spans="1:38">
      <c r="B218" s="4"/>
      <c r="C218" s="4"/>
      <c r="F218" s="4" t="s">
        <v>653</v>
      </c>
      <c r="G218" s="4" t="s">
        <v>713</v>
      </c>
      <c r="I218" s="4"/>
      <c r="M218" s="4"/>
      <c r="N218" s="4"/>
      <c r="O218" s="4"/>
      <c r="P218" s="4"/>
      <c r="Q218" s="4"/>
      <c r="R218" s="4"/>
      <c r="S218" s="4"/>
    </row>
    <row r="219" spans="1:38">
      <c r="B219" s="4"/>
      <c r="C219" s="4"/>
      <c r="F219" s="4"/>
      <c r="G219" s="4" t="s">
        <v>714</v>
      </c>
      <c r="I219" s="4"/>
      <c r="M219" s="4"/>
      <c r="N219" s="4"/>
      <c r="O219" s="4"/>
      <c r="P219" s="4"/>
      <c r="Q219" s="4"/>
      <c r="R219" s="4"/>
      <c r="S219" s="4"/>
    </row>
    <row r="220" spans="1:38">
      <c r="B220" s="4"/>
      <c r="C220" s="4"/>
      <c r="F220" s="4"/>
      <c r="K220" s="4"/>
      <c r="M220" s="4"/>
      <c r="N220" s="4"/>
      <c r="O220" s="4"/>
      <c r="P220" s="4"/>
      <c r="Q220" s="4"/>
      <c r="R220" s="4"/>
      <c r="S220" s="4"/>
    </row>
    <row r="221" spans="1:38">
      <c r="A221" s="5"/>
      <c r="B221" s="11" t="s">
        <v>9</v>
      </c>
      <c r="C221" s="11" t="s">
        <v>179</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c r="B222" s="2"/>
      <c r="D222" s="2"/>
      <c r="E222" s="4"/>
      <c r="F222" s="4"/>
      <c r="G222" s="4"/>
      <c r="H222" s="4"/>
      <c r="I222" s="4"/>
      <c r="J222" s="4"/>
      <c r="L222" s="4"/>
      <c r="M222" s="4"/>
      <c r="N222" s="4"/>
      <c r="O222" s="4"/>
      <c r="P222" s="4"/>
      <c r="Q222" s="4"/>
      <c r="R222" s="4"/>
      <c r="S222" s="4"/>
    </row>
    <row r="223" spans="1:38">
      <c r="B223" s="4"/>
      <c r="C223" s="2" t="s">
        <v>430</v>
      </c>
      <c r="D223" s="4"/>
      <c r="E223" s="4"/>
      <c r="F223" s="4"/>
      <c r="G223" s="2" t="s">
        <v>452</v>
      </c>
      <c r="I223" s="4"/>
      <c r="J223" s="4"/>
      <c r="K223" s="4"/>
      <c r="M223" s="4"/>
      <c r="N223" s="4"/>
      <c r="O223" s="4"/>
      <c r="P223" s="4"/>
      <c r="Q223" s="4"/>
      <c r="R223" s="4"/>
      <c r="S223" s="4"/>
    </row>
    <row r="224" spans="1:38">
      <c r="B224" s="2"/>
      <c r="E224" s="4" t="s">
        <v>112</v>
      </c>
      <c r="F224" s="4" t="s">
        <v>716</v>
      </c>
      <c r="G224" s="4"/>
      <c r="I224" s="4"/>
      <c r="J224" s="4"/>
      <c r="K224" s="4"/>
      <c r="L224" s="4"/>
      <c r="M224" s="4"/>
      <c r="N224" s="4"/>
      <c r="O224" s="4"/>
      <c r="P224" s="4"/>
      <c r="Q224" s="4"/>
      <c r="R224" s="4"/>
      <c r="S224" s="4"/>
    </row>
    <row r="225" spans="2:19">
      <c r="B225" s="2"/>
      <c r="E225" s="4" t="s">
        <v>113</v>
      </c>
      <c r="F225" s="4" t="s">
        <v>680</v>
      </c>
      <c r="G225" s="4"/>
      <c r="I225" s="4"/>
      <c r="J225" s="4"/>
      <c r="K225" s="4"/>
      <c r="L225" s="4"/>
      <c r="M225" s="4"/>
      <c r="N225" s="4"/>
      <c r="O225" s="4"/>
      <c r="P225" s="4"/>
      <c r="Q225" s="4"/>
      <c r="R225" s="4"/>
      <c r="S225" s="4"/>
    </row>
    <row r="226" spans="2:19">
      <c r="B226" s="2"/>
      <c r="E226" s="4"/>
      <c r="F226" s="4"/>
      <c r="G226" s="4"/>
      <c r="H226" s="4"/>
      <c r="I226" s="4"/>
      <c r="J226" s="4"/>
      <c r="K226" s="4"/>
      <c r="L226" s="4"/>
      <c r="M226" s="4"/>
      <c r="N226" s="4"/>
      <c r="O226" s="4"/>
      <c r="P226" s="4"/>
      <c r="Q226" s="4"/>
      <c r="R226" s="4"/>
      <c r="S226" s="4"/>
    </row>
    <row r="227" spans="2:19">
      <c r="B227" s="2"/>
      <c r="C227" s="2" t="s">
        <v>431</v>
      </c>
      <c r="D227" s="4"/>
      <c r="E227" s="4"/>
      <c r="F227" s="4"/>
      <c r="G227" s="2" t="s">
        <v>21</v>
      </c>
      <c r="I227" s="4"/>
      <c r="J227" s="4"/>
      <c r="K227" s="4"/>
      <c r="L227" s="4"/>
      <c r="M227" s="4"/>
      <c r="N227" s="4"/>
      <c r="O227" s="4"/>
      <c r="P227" s="4"/>
      <c r="Q227" s="4"/>
      <c r="R227" s="4"/>
      <c r="S227" s="4"/>
    </row>
    <row r="228" spans="2:19">
      <c r="B228" s="2"/>
      <c r="E228" s="4" t="s">
        <v>112</v>
      </c>
      <c r="F228" s="4" t="s">
        <v>717</v>
      </c>
      <c r="G228" s="4"/>
      <c r="I228" s="4"/>
      <c r="J228" s="4"/>
      <c r="K228" s="4"/>
      <c r="L228" s="4"/>
      <c r="M228" s="4"/>
      <c r="N228" s="4"/>
      <c r="O228" s="4"/>
      <c r="P228" s="4"/>
      <c r="Q228" s="4"/>
      <c r="R228" s="4"/>
      <c r="S228" s="4"/>
    </row>
    <row r="229" spans="2:19">
      <c r="B229" s="2"/>
      <c r="E229" s="4"/>
      <c r="F229" s="4" t="s">
        <v>718</v>
      </c>
      <c r="G229" s="4"/>
      <c r="H229" s="4"/>
      <c r="I229" s="4"/>
      <c r="J229" s="4"/>
      <c r="K229" s="4"/>
      <c r="L229" s="4"/>
      <c r="M229" s="4"/>
      <c r="N229" s="4"/>
      <c r="O229" s="4"/>
      <c r="P229" s="4"/>
      <c r="Q229" s="4"/>
      <c r="R229" s="4"/>
      <c r="S229" s="4"/>
    </row>
    <row r="230" spans="2:19">
      <c r="B230" s="2"/>
      <c r="D230" s="4"/>
      <c r="E230" s="4" t="s">
        <v>113</v>
      </c>
      <c r="F230" s="4" t="s">
        <v>680</v>
      </c>
      <c r="G230" s="4"/>
      <c r="I230" s="4"/>
      <c r="J230" s="4"/>
      <c r="K230" s="4"/>
      <c r="L230" s="4"/>
      <c r="M230" s="4"/>
      <c r="N230" s="4"/>
      <c r="O230" s="4"/>
      <c r="P230" s="4"/>
      <c r="Q230" s="4"/>
      <c r="R230" s="4"/>
      <c r="S230" s="4"/>
    </row>
    <row r="231" spans="2:19">
      <c r="B231" s="2"/>
      <c r="E231" s="4" t="s">
        <v>119</v>
      </c>
      <c r="F231" s="98" t="s">
        <v>952</v>
      </c>
      <c r="G231" s="4"/>
      <c r="I231" s="4"/>
      <c r="J231" s="4"/>
      <c r="K231" s="4"/>
      <c r="L231" s="4"/>
      <c r="M231" s="4"/>
      <c r="N231" s="4"/>
      <c r="O231" s="4"/>
      <c r="P231" s="4"/>
      <c r="Q231" s="4"/>
      <c r="R231" s="4"/>
      <c r="S231" s="4"/>
    </row>
    <row r="232" spans="2:19">
      <c r="B232" s="2"/>
      <c r="D232" s="4"/>
      <c r="E232" s="4"/>
      <c r="F232" s="4"/>
      <c r="G232" s="4"/>
      <c r="H232" s="4"/>
      <c r="I232" s="4"/>
      <c r="J232" s="4"/>
      <c r="K232" s="4"/>
      <c r="L232" s="4"/>
      <c r="M232" s="4"/>
      <c r="N232" s="4"/>
      <c r="O232" s="4"/>
      <c r="P232" s="4"/>
      <c r="Q232" s="4"/>
      <c r="R232" s="4"/>
      <c r="S232" s="4"/>
    </row>
    <row r="233" spans="2:19">
      <c r="B233" s="4"/>
      <c r="C233" s="2"/>
      <c r="E233" s="2" t="s">
        <v>327</v>
      </c>
      <c r="F233" s="4"/>
      <c r="J233" s="4"/>
      <c r="K233" s="4"/>
      <c r="M233" s="4"/>
      <c r="N233" s="4"/>
      <c r="O233" s="4"/>
      <c r="P233" s="4"/>
      <c r="Q233" s="4"/>
      <c r="R233" s="4"/>
      <c r="S233" s="4"/>
    </row>
    <row r="234" spans="2:19">
      <c r="B234" s="4"/>
      <c r="C234" s="4"/>
      <c r="E234" t="s">
        <v>112</v>
      </c>
      <c r="F234" s="4" t="s">
        <v>327</v>
      </c>
      <c r="G234" s="2"/>
      <c r="H234" s="2"/>
      <c r="I234" s="2"/>
      <c r="L234" s="2"/>
      <c r="M234" s="2"/>
      <c r="N234" s="2"/>
      <c r="O234" s="2"/>
      <c r="P234" s="2"/>
      <c r="Q234" s="2"/>
      <c r="R234" s="4"/>
      <c r="S234" s="4"/>
    </row>
    <row r="235" spans="2:19">
      <c r="B235" s="4"/>
      <c r="C235" s="4"/>
      <c r="F235" s="4" t="s">
        <v>653</v>
      </c>
      <c r="G235" s="4" t="s">
        <v>719</v>
      </c>
      <c r="I235" s="4"/>
      <c r="M235" s="4"/>
      <c r="N235" s="4"/>
      <c r="O235" s="4"/>
      <c r="P235" s="4"/>
      <c r="Q235" s="4"/>
      <c r="R235" s="4"/>
      <c r="S235" s="4"/>
    </row>
    <row r="236" spans="2:19">
      <c r="B236" s="4"/>
      <c r="C236" s="4"/>
      <c r="F236" s="4"/>
      <c r="G236" s="4" t="s">
        <v>798</v>
      </c>
      <c r="I236" s="4"/>
      <c r="M236" s="4"/>
      <c r="N236" s="4"/>
      <c r="O236" s="4"/>
      <c r="P236" s="4"/>
      <c r="Q236" s="4"/>
      <c r="R236" s="4"/>
      <c r="S236" s="4"/>
    </row>
    <row r="237" spans="2:19">
      <c r="B237" s="4"/>
      <c r="C237" s="4"/>
      <c r="E237" t="s">
        <v>113</v>
      </c>
      <c r="F237" s="136" t="s">
        <v>445</v>
      </c>
      <c r="G237" s="2"/>
      <c r="H237" s="2"/>
      <c r="I237" s="2"/>
      <c r="L237" s="2"/>
      <c r="M237" s="2"/>
      <c r="N237" s="2"/>
      <c r="O237" s="2"/>
      <c r="P237" s="2"/>
      <c r="Q237" s="2"/>
      <c r="R237" s="2"/>
      <c r="S237" s="2"/>
    </row>
    <row r="238" spans="2:19">
      <c r="B238" s="4"/>
      <c r="C238" s="4"/>
      <c r="F238" s="4" t="s">
        <v>653</v>
      </c>
      <c r="G238" s="4" t="s">
        <v>722</v>
      </c>
      <c r="I238" s="4"/>
      <c r="M238" s="4"/>
      <c r="N238" s="4"/>
      <c r="O238" s="4"/>
      <c r="P238" s="4"/>
      <c r="Q238" s="4"/>
      <c r="R238" s="4"/>
      <c r="S238" s="4"/>
    </row>
    <row r="239" spans="2:19">
      <c r="B239" s="4"/>
      <c r="C239" s="4"/>
      <c r="F239" s="4"/>
      <c r="G239" s="4" t="s">
        <v>687</v>
      </c>
      <c r="H239" s="4" t="s">
        <v>941</v>
      </c>
      <c r="I239" s="4"/>
      <c r="M239" s="4"/>
      <c r="N239" s="4"/>
      <c r="O239" s="4"/>
      <c r="P239" s="4"/>
      <c r="Q239" s="4"/>
      <c r="R239" s="4"/>
      <c r="S239" s="4"/>
    </row>
    <row r="240" spans="2:19">
      <c r="B240" s="4"/>
      <c r="C240" s="4"/>
      <c r="F240" s="4" t="s">
        <v>348</v>
      </c>
      <c r="G240" s="136" t="s">
        <v>723</v>
      </c>
      <c r="I240" s="4"/>
      <c r="M240" s="4"/>
      <c r="N240" s="4"/>
      <c r="O240" s="4"/>
      <c r="P240" s="4"/>
      <c r="Q240" s="4"/>
      <c r="R240" s="4"/>
      <c r="S240" s="4"/>
    </row>
    <row r="241" spans="2:21">
      <c r="B241" s="4"/>
      <c r="C241" s="4"/>
      <c r="E241" t="s">
        <v>119</v>
      </c>
      <c r="F241" s="4" t="s">
        <v>653</v>
      </c>
      <c r="G241" s="136" t="s">
        <v>942</v>
      </c>
      <c r="I241" s="4"/>
      <c r="M241" s="4"/>
      <c r="N241" s="4"/>
      <c r="O241" s="4"/>
      <c r="P241" s="4"/>
      <c r="Q241" s="4"/>
      <c r="R241" s="4"/>
      <c r="S241" s="4"/>
    </row>
    <row r="242" spans="2:21">
      <c r="B242" s="4"/>
      <c r="C242" s="4"/>
      <c r="F242" s="4" t="s">
        <v>348</v>
      </c>
      <c r="G242" s="136" t="s">
        <v>943</v>
      </c>
      <c r="I242" s="4"/>
      <c r="M242" s="4"/>
      <c r="N242" s="4"/>
      <c r="O242" s="4"/>
      <c r="P242" s="4"/>
      <c r="Q242" s="4"/>
      <c r="R242" s="4"/>
      <c r="S242" s="4"/>
    </row>
    <row r="243" spans="2:21">
      <c r="B243" s="4"/>
      <c r="C243" s="4"/>
      <c r="F243" s="4" t="s">
        <v>349</v>
      </c>
      <c r="G243" s="136" t="s">
        <v>720</v>
      </c>
      <c r="I243" s="4"/>
      <c r="M243" s="4"/>
      <c r="N243" s="4"/>
      <c r="O243" s="4"/>
      <c r="P243" s="4"/>
      <c r="Q243" s="4"/>
      <c r="R243" s="4"/>
      <c r="S243" s="4"/>
    </row>
    <row r="244" spans="2:21">
      <c r="B244" s="4"/>
      <c r="C244" s="4"/>
      <c r="F244" s="4"/>
      <c r="G244" s="136" t="s">
        <v>721</v>
      </c>
      <c r="I244" s="4"/>
      <c r="M244" s="4"/>
      <c r="N244" s="4"/>
      <c r="O244" s="4"/>
      <c r="P244" s="4"/>
      <c r="Q244" s="4"/>
      <c r="R244" s="4"/>
      <c r="S244" s="4"/>
    </row>
    <row r="245" spans="2:21">
      <c r="B245" s="4"/>
      <c r="C245" s="4"/>
      <c r="D245" s="2"/>
      <c r="E245" s="4" t="s">
        <v>119</v>
      </c>
      <c r="F245" s="4" t="s">
        <v>328</v>
      </c>
      <c r="H245" s="4"/>
      <c r="I245" s="4"/>
      <c r="M245" s="4"/>
      <c r="N245" s="4"/>
      <c r="O245" s="4"/>
      <c r="P245" s="4"/>
      <c r="Q245" s="4"/>
      <c r="R245" s="4"/>
      <c r="S245" s="4"/>
    </row>
    <row r="246" spans="2:21">
      <c r="B246" s="4"/>
      <c r="C246" s="4"/>
      <c r="D246" s="2"/>
      <c r="E246" s="2"/>
      <c r="F246" t="s">
        <v>653</v>
      </c>
      <c r="G246" s="4" t="s">
        <v>432</v>
      </c>
      <c r="I246" s="4"/>
      <c r="M246" s="4"/>
      <c r="N246" s="4"/>
      <c r="O246" s="4"/>
      <c r="P246" s="4"/>
      <c r="Q246" s="4"/>
      <c r="R246" s="4"/>
      <c r="S246" s="4"/>
    </row>
    <row r="247" spans="2:21">
      <c r="B247" s="4"/>
      <c r="C247" s="4"/>
      <c r="D247" s="2"/>
      <c r="E247" s="2"/>
      <c r="F247" s="4"/>
      <c r="G247" s="4" t="s">
        <v>433</v>
      </c>
      <c r="I247" s="4"/>
      <c r="M247" s="4"/>
      <c r="N247" s="4"/>
      <c r="O247" s="4"/>
      <c r="P247" s="4"/>
      <c r="Q247" s="4"/>
      <c r="R247" s="4"/>
      <c r="S247" s="4"/>
    </row>
    <row r="248" spans="2:21">
      <c r="B248" s="4"/>
      <c r="C248" s="4"/>
      <c r="D248" s="2"/>
      <c r="E248" s="2"/>
      <c r="F248" s="4"/>
      <c r="G248" s="4"/>
      <c r="I248" s="4"/>
      <c r="M248" s="4"/>
      <c r="N248" s="4"/>
      <c r="O248" s="4"/>
      <c r="P248" s="4"/>
      <c r="Q248" s="4"/>
      <c r="R248" s="4"/>
      <c r="S248" s="4"/>
    </row>
    <row r="249" spans="2:21">
      <c r="B249" s="2"/>
      <c r="C249" s="2" t="s">
        <v>6</v>
      </c>
      <c r="E249" s="4"/>
      <c r="F249" s="4"/>
      <c r="G249" s="2" t="s">
        <v>383</v>
      </c>
      <c r="I249" s="4"/>
      <c r="J249" s="4"/>
      <c r="K249" s="4"/>
      <c r="L249" s="4"/>
      <c r="M249" s="4"/>
      <c r="N249" s="4"/>
      <c r="O249" s="4"/>
      <c r="P249" s="4"/>
      <c r="Q249" s="4"/>
      <c r="R249" s="4"/>
      <c r="S249" s="4"/>
    </row>
    <row r="250" spans="2:21">
      <c r="B250" s="2"/>
      <c r="C250" s="2"/>
      <c r="E250" s="4" t="s">
        <v>112</v>
      </c>
      <c r="F250" s="4" t="s">
        <v>71</v>
      </c>
      <c r="G250" s="4"/>
      <c r="I250" s="4"/>
      <c r="J250" s="4"/>
      <c r="K250" s="4"/>
      <c r="L250" s="4"/>
      <c r="M250" s="4"/>
      <c r="N250" s="4"/>
      <c r="O250" s="4"/>
      <c r="P250" s="4"/>
      <c r="Q250" s="4"/>
      <c r="R250" s="4"/>
      <c r="S250" s="4"/>
      <c r="T250" s="4"/>
      <c r="U250" s="4"/>
    </row>
    <row r="251" spans="2:21">
      <c r="B251" s="2"/>
      <c r="C251" s="2"/>
      <c r="E251" s="4"/>
      <c r="F251" s="120" t="s">
        <v>1149</v>
      </c>
      <c r="G251" s="4"/>
      <c r="I251" s="120"/>
      <c r="J251" s="4"/>
      <c r="K251" s="4"/>
      <c r="L251" s="4"/>
      <c r="M251" s="4"/>
      <c r="N251" s="4"/>
      <c r="O251" s="4"/>
      <c r="P251" s="4"/>
      <c r="Q251" s="4"/>
      <c r="R251" s="4"/>
      <c r="S251" s="4"/>
      <c r="T251" s="4"/>
      <c r="U251" s="4"/>
    </row>
    <row r="252" spans="2:21">
      <c r="B252" s="2"/>
      <c r="C252" s="2"/>
      <c r="E252" s="4" t="s">
        <v>113</v>
      </c>
      <c r="F252" s="4" t="s">
        <v>938</v>
      </c>
      <c r="I252" s="4"/>
      <c r="J252" s="4"/>
      <c r="K252" s="4"/>
      <c r="L252" s="4"/>
      <c r="M252" s="4"/>
      <c r="N252" s="4"/>
      <c r="O252" s="4"/>
      <c r="P252" s="4"/>
      <c r="Q252" s="4"/>
      <c r="R252" s="4"/>
      <c r="S252" s="4"/>
      <c r="T252" s="4"/>
      <c r="U252" s="4"/>
    </row>
    <row r="253" spans="2:21">
      <c r="B253" s="2"/>
      <c r="C253" s="2"/>
      <c r="E253" s="4"/>
      <c r="F253" s="204" t="s">
        <v>653</v>
      </c>
      <c r="G253" s="204" t="s">
        <v>811</v>
      </c>
      <c r="I253" s="3"/>
      <c r="K253" s="3"/>
      <c r="L253" s="3"/>
      <c r="M253" s="3"/>
      <c r="N253" s="3"/>
      <c r="O253" s="3"/>
      <c r="Q253" s="4"/>
      <c r="R253" s="4"/>
      <c r="S253" s="4"/>
      <c r="T253" s="4"/>
      <c r="U253" s="4"/>
    </row>
    <row r="254" spans="2:21">
      <c r="B254" s="2"/>
      <c r="C254" s="2"/>
      <c r="E254" s="4"/>
      <c r="F254" s="204"/>
      <c r="G254" s="204" t="s">
        <v>812</v>
      </c>
      <c r="I254" s="3"/>
      <c r="K254" s="3"/>
      <c r="L254" s="3"/>
      <c r="M254" s="3"/>
      <c r="N254" s="3"/>
      <c r="O254" s="3"/>
      <c r="P254" s="3"/>
    </row>
    <row r="255" spans="2:21">
      <c r="B255" s="2"/>
      <c r="C255" s="2"/>
      <c r="E255" s="4"/>
      <c r="F255" s="204" t="s">
        <v>348</v>
      </c>
      <c r="G255" s="204" t="s">
        <v>944</v>
      </c>
      <c r="I255" s="4"/>
      <c r="K255" s="4"/>
      <c r="L255" s="4"/>
      <c r="M255" s="4"/>
      <c r="N255" s="4"/>
      <c r="O255" s="4"/>
      <c r="P255" s="3"/>
    </row>
    <row r="256" spans="2:21">
      <c r="B256" s="2"/>
      <c r="C256" s="2"/>
      <c r="E256" s="4"/>
      <c r="F256" s="204"/>
      <c r="G256" s="204" t="s">
        <v>870</v>
      </c>
      <c r="I256" s="4"/>
      <c r="K256" s="4"/>
      <c r="L256" s="4"/>
      <c r="M256" s="4"/>
      <c r="N256" s="4"/>
      <c r="O256" s="4"/>
      <c r="P256" s="4"/>
      <c r="Q256" s="3"/>
      <c r="R256" s="3"/>
      <c r="S256" s="3"/>
      <c r="T256" s="3"/>
      <c r="U256" s="3"/>
    </row>
    <row r="257" spans="2:21">
      <c r="B257" s="2"/>
      <c r="C257" s="2"/>
      <c r="E257" s="4"/>
      <c r="G257" s="4"/>
      <c r="I257" s="4"/>
      <c r="K257" s="4"/>
      <c r="L257" s="4"/>
      <c r="M257" s="4"/>
      <c r="N257" s="4"/>
      <c r="O257" s="4"/>
      <c r="P257" s="4"/>
      <c r="Q257" s="3"/>
      <c r="R257" s="3"/>
      <c r="S257" s="3"/>
      <c r="T257" s="3"/>
      <c r="U257" s="3"/>
    </row>
    <row r="258" spans="2:21">
      <c r="B258" s="2"/>
      <c r="C258" s="2"/>
      <c r="D258" s="2" t="s">
        <v>207</v>
      </c>
      <c r="E258" s="2" t="s">
        <v>384</v>
      </c>
      <c r="G258" s="4"/>
      <c r="H258" s="4"/>
      <c r="I258" s="4"/>
      <c r="J258" s="4"/>
      <c r="K258" s="4"/>
      <c r="L258" s="4"/>
      <c r="M258" s="4"/>
      <c r="N258" s="4"/>
      <c r="O258" s="4"/>
      <c r="P258" s="4"/>
      <c r="Q258" s="4"/>
      <c r="R258" s="4"/>
      <c r="S258" s="4"/>
    </row>
    <row r="259" spans="2:21">
      <c r="B259" s="2"/>
      <c r="C259" s="2"/>
      <c r="E259" s="4" t="s">
        <v>112</v>
      </c>
      <c r="F259" s="4" t="s">
        <v>253</v>
      </c>
      <c r="G259" s="4"/>
      <c r="I259" s="4"/>
      <c r="J259" s="4"/>
      <c r="K259" s="4"/>
      <c r="L259" s="4"/>
      <c r="M259" s="4"/>
      <c r="N259" s="4"/>
      <c r="O259" s="4"/>
      <c r="P259" s="4"/>
      <c r="Q259" s="4"/>
      <c r="R259" s="4"/>
      <c r="S259" s="4"/>
    </row>
    <row r="260" spans="2:21">
      <c r="B260" s="2"/>
      <c r="C260" s="2"/>
      <c r="E260" s="4" t="s">
        <v>113</v>
      </c>
      <c r="F260" s="4" t="s">
        <v>803</v>
      </c>
      <c r="G260" s="4"/>
      <c r="I260" s="4"/>
      <c r="J260" s="4"/>
      <c r="K260" s="4"/>
      <c r="L260" s="4"/>
      <c r="M260" s="4"/>
      <c r="N260" s="4"/>
      <c r="O260" s="4"/>
      <c r="P260" s="4"/>
      <c r="Q260" s="4"/>
      <c r="R260" s="4"/>
      <c r="S260" s="4"/>
    </row>
    <row r="261" spans="2:21">
      <c r="B261" s="2"/>
      <c r="C261" s="2"/>
      <c r="E261" s="4" t="s">
        <v>119</v>
      </c>
      <c r="F261" s="4" t="s">
        <v>254</v>
      </c>
      <c r="I261" s="4"/>
      <c r="J261" s="4"/>
      <c r="K261" s="4"/>
      <c r="L261" s="4"/>
      <c r="M261" s="4"/>
      <c r="N261" s="4"/>
      <c r="O261" s="4"/>
      <c r="P261" s="4"/>
      <c r="Q261" s="4"/>
      <c r="R261" s="4"/>
      <c r="S261" s="4"/>
    </row>
    <row r="262" spans="2:21">
      <c r="B262" s="2"/>
      <c r="C262" s="2"/>
      <c r="E262" s="2"/>
      <c r="F262" s="4" t="s">
        <v>804</v>
      </c>
      <c r="I262" s="4"/>
      <c r="J262" s="4"/>
      <c r="K262" s="4"/>
      <c r="L262" s="4"/>
      <c r="M262" s="4"/>
      <c r="N262" s="4"/>
      <c r="O262" s="4"/>
      <c r="P262" s="4"/>
      <c r="Q262" s="4"/>
      <c r="R262" s="4"/>
      <c r="S262" s="4"/>
    </row>
    <row r="263" spans="2:21">
      <c r="B263" s="2"/>
      <c r="C263" s="2"/>
      <c r="E263" s="4" t="s">
        <v>581</v>
      </c>
      <c r="F263" s="204" t="s">
        <v>813</v>
      </c>
      <c r="I263" s="4"/>
      <c r="J263" s="4"/>
      <c r="K263" s="4"/>
      <c r="L263" s="4"/>
      <c r="M263" s="4"/>
      <c r="N263" s="4"/>
      <c r="O263" s="4"/>
      <c r="P263" s="4"/>
      <c r="Q263" s="4"/>
      <c r="R263" s="4"/>
      <c r="S263" s="4"/>
    </row>
    <row r="264" spans="2:21">
      <c r="B264" s="2"/>
      <c r="C264" s="2"/>
      <c r="E264" s="2"/>
      <c r="F264" s="4"/>
      <c r="H264" s="4"/>
      <c r="I264" s="4"/>
      <c r="J264" s="4"/>
      <c r="K264" s="4"/>
      <c r="L264" s="4"/>
      <c r="M264" s="4"/>
      <c r="N264" s="4"/>
      <c r="O264" s="4"/>
      <c r="P264" s="4"/>
      <c r="Q264" s="4"/>
      <c r="R264" s="4"/>
      <c r="S264" s="4"/>
    </row>
    <row r="265" spans="2:21">
      <c r="B265" s="2"/>
      <c r="C265" s="2"/>
      <c r="D265" s="2" t="s">
        <v>341</v>
      </c>
      <c r="E265" s="2" t="s">
        <v>72</v>
      </c>
      <c r="G265" s="4"/>
      <c r="H265" s="4"/>
      <c r="I265" s="4"/>
      <c r="J265" s="4"/>
      <c r="K265" s="4"/>
      <c r="L265" s="4"/>
      <c r="M265" s="4"/>
      <c r="N265" s="4"/>
      <c r="O265" s="4"/>
      <c r="P265" s="4"/>
      <c r="Q265" s="4"/>
      <c r="R265" s="4"/>
      <c r="S265" s="4"/>
    </row>
    <row r="266" spans="2:21">
      <c r="B266" s="2"/>
      <c r="C266" s="2"/>
      <c r="E266" s="4" t="s">
        <v>1018</v>
      </c>
      <c r="F266" s="4"/>
      <c r="G266" s="4"/>
      <c r="O266" s="4"/>
      <c r="P266" s="4"/>
      <c r="Q266" s="4"/>
      <c r="R266" s="4"/>
      <c r="S266" s="4"/>
    </row>
    <row r="267" spans="2:21">
      <c r="B267" s="2"/>
      <c r="C267" s="2"/>
      <c r="E267" s="2"/>
      <c r="G267" s="4"/>
      <c r="H267" s="4"/>
      <c r="O267" s="4"/>
      <c r="P267" s="4"/>
      <c r="Q267" s="4"/>
      <c r="R267" s="4"/>
      <c r="S267" s="4"/>
    </row>
    <row r="268" spans="2:21">
      <c r="B268" s="2"/>
      <c r="C268" s="2"/>
      <c r="D268" s="2" t="s">
        <v>574</v>
      </c>
      <c r="E268" s="2" t="s">
        <v>287</v>
      </c>
      <c r="G268" s="4"/>
    </row>
    <row r="269" spans="2:21">
      <c r="B269" s="2"/>
      <c r="C269" s="2"/>
      <c r="E269" s="4" t="s">
        <v>255</v>
      </c>
      <c r="F269" s="4"/>
      <c r="G269" s="4"/>
      <c r="J269" s="4"/>
      <c r="K269" s="4"/>
      <c r="L269" s="4"/>
      <c r="M269" s="4"/>
      <c r="N269" s="4"/>
    </row>
    <row r="270" spans="2:21">
      <c r="B270" s="2"/>
      <c r="C270" s="2"/>
      <c r="E270" s="4" t="s">
        <v>945</v>
      </c>
      <c r="F270" s="4"/>
      <c r="G270" s="4"/>
      <c r="J270" s="4"/>
      <c r="K270" s="4"/>
      <c r="L270" s="4"/>
      <c r="M270" s="4"/>
      <c r="N270" s="4"/>
    </row>
    <row r="271" spans="2:21">
      <c r="B271" s="2"/>
      <c r="C271" s="2"/>
      <c r="E271" s="2"/>
      <c r="G271" s="4"/>
      <c r="H271" s="4"/>
      <c r="J271" s="4"/>
      <c r="K271" s="4"/>
      <c r="L271" s="4"/>
      <c r="M271" s="4"/>
      <c r="N271" s="4"/>
      <c r="O271" s="4"/>
      <c r="P271" s="4"/>
      <c r="Q271" s="4"/>
      <c r="R271" s="4"/>
      <c r="S271" s="4"/>
      <c r="T271" s="4"/>
      <c r="U271" s="4"/>
    </row>
    <row r="272" spans="2:21">
      <c r="B272" s="2"/>
      <c r="D272" s="2" t="s">
        <v>514</v>
      </c>
      <c r="E272" s="2" t="s">
        <v>612</v>
      </c>
      <c r="G272" s="4"/>
      <c r="H272" s="4"/>
      <c r="J272" s="4"/>
      <c r="K272" s="4"/>
      <c r="L272" s="4"/>
      <c r="M272" s="4"/>
      <c r="N272" s="4"/>
      <c r="O272" s="4"/>
      <c r="P272" s="4"/>
      <c r="Q272" s="4"/>
      <c r="R272" s="4"/>
      <c r="S272" s="4"/>
      <c r="T272" s="4"/>
      <c r="U272" s="4"/>
    </row>
    <row r="273" spans="2:23">
      <c r="B273" s="2"/>
      <c r="D273" s="4"/>
      <c r="E273" s="4" t="s">
        <v>1011</v>
      </c>
      <c r="J273" s="4"/>
      <c r="K273" s="4"/>
      <c r="L273" s="4"/>
      <c r="M273" s="4"/>
      <c r="N273" s="4"/>
      <c r="O273" s="4"/>
      <c r="P273" s="4"/>
      <c r="Q273" s="4"/>
      <c r="R273" s="4"/>
      <c r="S273" s="4"/>
      <c r="T273" s="4"/>
      <c r="U273" s="4"/>
    </row>
    <row r="274" spans="2:23">
      <c r="B274" s="2"/>
      <c r="D274" s="4"/>
      <c r="E274" s="4" t="s">
        <v>939</v>
      </c>
      <c r="J274" s="4"/>
      <c r="K274" s="4"/>
      <c r="L274" s="4"/>
      <c r="M274" s="4"/>
      <c r="N274" s="4"/>
      <c r="O274" s="4"/>
      <c r="P274" s="4"/>
      <c r="Q274" s="4"/>
      <c r="R274" s="4"/>
      <c r="S274" s="4"/>
      <c r="T274" s="4"/>
      <c r="U274" s="4"/>
    </row>
    <row r="275" spans="2:23">
      <c r="B275" s="2"/>
      <c r="D275" s="4"/>
      <c r="E275" s="4"/>
      <c r="J275" s="4"/>
      <c r="K275" s="4"/>
      <c r="L275" s="4"/>
      <c r="M275" s="4"/>
      <c r="N275" s="4"/>
      <c r="O275" s="4"/>
      <c r="P275" s="4"/>
      <c r="Q275" s="4"/>
      <c r="R275" s="4"/>
      <c r="S275" s="4"/>
      <c r="T275" s="4"/>
      <c r="U275" s="4"/>
    </row>
    <row r="276" spans="2:23">
      <c r="B276" s="2"/>
      <c r="D276" s="2" t="s">
        <v>303</v>
      </c>
      <c r="E276" s="2" t="s">
        <v>288</v>
      </c>
      <c r="K276" s="4"/>
      <c r="L276" s="4"/>
      <c r="M276" s="4"/>
      <c r="N276" s="4"/>
      <c r="O276" s="4"/>
      <c r="P276" s="4"/>
      <c r="Q276" s="4"/>
      <c r="R276" s="4"/>
      <c r="S276" s="4"/>
      <c r="T276" s="4"/>
      <c r="U276" s="4"/>
    </row>
    <row r="277" spans="2:23">
      <c r="B277" s="2"/>
      <c r="D277" s="2"/>
      <c r="E277" t="s">
        <v>256</v>
      </c>
      <c r="K277" s="4"/>
      <c r="L277" s="4"/>
      <c r="M277" s="4"/>
      <c r="N277" s="4"/>
      <c r="O277" s="4"/>
      <c r="P277" s="4"/>
      <c r="Q277" s="4"/>
      <c r="R277" s="4"/>
      <c r="S277" s="4"/>
    </row>
    <row r="278" spans="2:23">
      <c r="B278" s="2"/>
      <c r="D278" s="4"/>
      <c r="E278" s="4" t="s">
        <v>946</v>
      </c>
      <c r="I278" s="4"/>
      <c r="J278" s="4"/>
      <c r="K278" s="4"/>
      <c r="L278" s="4"/>
      <c r="M278" s="4"/>
      <c r="N278" s="4"/>
      <c r="O278" s="4"/>
      <c r="P278" s="4"/>
      <c r="Q278" s="4"/>
      <c r="R278" s="4"/>
      <c r="S278" s="4"/>
    </row>
    <row r="279" spans="2:23">
      <c r="B279" s="2"/>
      <c r="D279" s="4"/>
      <c r="E279" s="4"/>
      <c r="I279" s="4"/>
      <c r="J279" s="4"/>
      <c r="K279" s="4"/>
      <c r="L279" s="4"/>
      <c r="M279" s="4"/>
      <c r="N279" s="4"/>
      <c r="O279" s="4"/>
      <c r="P279" s="4"/>
      <c r="Q279" s="4"/>
      <c r="R279" s="4"/>
      <c r="S279" s="4"/>
    </row>
    <row r="280" spans="2:23">
      <c r="B280" s="2"/>
      <c r="D280" s="2" t="s">
        <v>429</v>
      </c>
      <c r="E280" s="2" t="s">
        <v>425</v>
      </c>
      <c r="G280" s="4"/>
      <c r="H280" s="4"/>
      <c r="I280" s="4"/>
      <c r="J280" s="4"/>
      <c r="K280" s="4"/>
      <c r="L280" s="4"/>
      <c r="M280" s="4"/>
      <c r="O280" s="4"/>
      <c r="P280" s="4"/>
      <c r="Q280" s="4"/>
      <c r="R280" s="4"/>
      <c r="S280" s="4"/>
    </row>
    <row r="281" spans="2:23">
      <c r="B281" s="2"/>
      <c r="D281" s="2"/>
      <c r="E281" t="s">
        <v>257</v>
      </c>
      <c r="G281" s="4"/>
      <c r="H281" s="4"/>
      <c r="I281" s="4"/>
      <c r="J281" s="4"/>
      <c r="K281" s="4"/>
      <c r="L281" s="4"/>
      <c r="M281" s="4"/>
      <c r="P281" s="4"/>
      <c r="Q281" s="4"/>
      <c r="R281" s="4"/>
      <c r="S281" s="4"/>
    </row>
    <row r="282" spans="2:23">
      <c r="B282" s="2"/>
      <c r="D282" s="2"/>
      <c r="E282" t="s">
        <v>258</v>
      </c>
      <c r="G282" s="4"/>
      <c r="H282" s="4"/>
      <c r="I282" s="4"/>
      <c r="J282" s="4"/>
      <c r="K282" s="4"/>
      <c r="L282" s="4"/>
      <c r="M282" s="4"/>
      <c r="P282" s="4"/>
      <c r="Q282" s="4"/>
      <c r="R282" s="4"/>
      <c r="S282" s="4"/>
    </row>
    <row r="283" spans="2:23">
      <c r="B283" s="2"/>
      <c r="D283" s="2"/>
      <c r="E283" s="120" t="s">
        <v>947</v>
      </c>
      <c r="F283" s="120"/>
      <c r="G283" s="4"/>
      <c r="H283" s="120"/>
      <c r="I283" s="120"/>
      <c r="J283" s="4"/>
      <c r="K283" s="4"/>
      <c r="L283" s="4"/>
      <c r="M283" s="4"/>
      <c r="P283" s="4"/>
      <c r="Q283" s="4"/>
      <c r="R283" s="4"/>
      <c r="S283" s="4"/>
    </row>
    <row r="284" spans="2:23">
      <c r="B284" s="2"/>
      <c r="D284" s="2"/>
      <c r="E284" s="449" t="s">
        <v>869</v>
      </c>
      <c r="G284" s="4"/>
      <c r="H284" s="120"/>
      <c r="I284" s="120"/>
      <c r="J284" s="4"/>
      <c r="K284" s="4"/>
      <c r="L284" s="4"/>
      <c r="M284" s="4"/>
      <c r="O284" s="4"/>
      <c r="P284" s="4"/>
      <c r="Q284" s="4"/>
      <c r="R284" s="4"/>
      <c r="S284" s="4"/>
    </row>
    <row r="285" spans="2:23">
      <c r="B285" s="2"/>
      <c r="D285" s="2"/>
      <c r="E285" s="4"/>
      <c r="F285" s="4"/>
      <c r="G285" s="4"/>
      <c r="H285" s="4"/>
      <c r="I285" s="4"/>
      <c r="J285" s="4"/>
      <c r="K285" s="4"/>
      <c r="L285" s="4"/>
      <c r="M285" s="4"/>
    </row>
    <row r="286" spans="2:23">
      <c r="B286" s="2"/>
      <c r="D286" s="2" t="s">
        <v>557</v>
      </c>
      <c r="E286" s="2" t="s">
        <v>558</v>
      </c>
      <c r="K286" s="4"/>
      <c r="L286" s="4"/>
      <c r="M286" s="4"/>
      <c r="N286" s="4"/>
    </row>
    <row r="287" spans="2:23">
      <c r="B287" s="2"/>
      <c r="D287" s="4"/>
      <c r="E287" s="4" t="s">
        <v>112</v>
      </c>
      <c r="F287" s="4" t="s">
        <v>559</v>
      </c>
      <c r="G287" s="4"/>
      <c r="O287" s="4"/>
      <c r="P287" s="4"/>
      <c r="Q287" s="4"/>
      <c r="R287" s="4"/>
      <c r="S287" s="4"/>
      <c r="T287" s="4"/>
      <c r="U287" s="4"/>
      <c r="V287" s="4"/>
      <c r="W287" s="4"/>
    </row>
    <row r="288" spans="2:23">
      <c r="B288" s="2"/>
      <c r="D288" s="4"/>
      <c r="E288" s="4"/>
      <c r="F288" s="120" t="s">
        <v>1150</v>
      </c>
      <c r="G288" s="120"/>
      <c r="H288" s="120"/>
      <c r="I288" s="120"/>
      <c r="J288" s="120"/>
      <c r="K288" s="120"/>
      <c r="L288" s="120"/>
      <c r="M288" s="120"/>
      <c r="N288" s="120"/>
      <c r="O288" s="4"/>
      <c r="P288" s="4"/>
      <c r="Q288" s="4"/>
      <c r="R288" s="4"/>
      <c r="S288" s="4"/>
      <c r="T288" s="4"/>
      <c r="U288" s="4"/>
      <c r="V288" s="4"/>
      <c r="W288" s="4"/>
    </row>
    <row r="289" spans="2:23">
      <c r="B289" s="2"/>
      <c r="D289" s="4"/>
      <c r="E289" s="4" t="s">
        <v>113</v>
      </c>
      <c r="F289" s="4" t="s">
        <v>560</v>
      </c>
      <c r="G289" s="4"/>
      <c r="L289" s="4"/>
      <c r="M289" s="4"/>
      <c r="N289" s="4"/>
      <c r="O289" s="4"/>
      <c r="P289" s="4"/>
      <c r="Q289" s="4"/>
      <c r="R289" s="4"/>
      <c r="S289" s="4"/>
      <c r="T289" s="4"/>
      <c r="U289" s="4"/>
      <c r="V289" s="4"/>
      <c r="W289" s="4"/>
    </row>
    <row r="290" spans="2:23">
      <c r="B290" s="2"/>
      <c r="D290" s="4"/>
      <c r="E290" s="4" t="s">
        <v>119</v>
      </c>
      <c r="F290" s="4" t="s">
        <v>259</v>
      </c>
      <c r="G290" s="4"/>
      <c r="H290" s="4"/>
      <c r="K290" s="4"/>
      <c r="L290" s="4"/>
      <c r="M290" s="4"/>
      <c r="N290" s="4"/>
      <c r="O290" s="4"/>
      <c r="P290" s="4"/>
      <c r="Q290" s="4"/>
      <c r="R290" s="4"/>
      <c r="S290" s="4"/>
      <c r="T290" s="4"/>
      <c r="U290" s="4"/>
      <c r="V290" s="4"/>
      <c r="W290" s="4"/>
    </row>
    <row r="291" spans="2:23">
      <c r="B291" s="2"/>
      <c r="D291" s="4"/>
      <c r="E291" s="4"/>
      <c r="F291" s="4" t="s">
        <v>653</v>
      </c>
      <c r="G291" s="4" t="s">
        <v>260</v>
      </c>
      <c r="K291" s="4"/>
      <c r="L291" s="4"/>
      <c r="M291" s="4"/>
      <c r="N291" s="4"/>
      <c r="O291" s="4"/>
      <c r="P291" s="4"/>
      <c r="Q291" s="4"/>
      <c r="R291" s="4"/>
      <c r="S291" s="4"/>
      <c r="T291" s="4"/>
      <c r="U291" s="4"/>
      <c r="V291" s="4"/>
      <c r="W291" s="4"/>
    </row>
    <row r="292" spans="2:23">
      <c r="B292" s="2"/>
      <c r="D292" s="4"/>
      <c r="E292" s="4"/>
      <c r="F292" s="4" t="s">
        <v>348</v>
      </c>
      <c r="G292" s="4" t="s">
        <v>940</v>
      </c>
      <c r="H292" s="4"/>
      <c r="K292" s="4"/>
      <c r="L292" s="4"/>
      <c r="M292" s="4"/>
      <c r="N292" s="4"/>
      <c r="O292" s="4"/>
      <c r="P292" s="4"/>
      <c r="Q292" s="4"/>
      <c r="R292" s="4"/>
      <c r="S292" s="4"/>
      <c r="T292" s="4"/>
      <c r="U292" s="4"/>
      <c r="V292" s="4"/>
      <c r="W292" s="4"/>
    </row>
    <row r="293" spans="2:23">
      <c r="B293" s="2"/>
      <c r="D293" s="4"/>
      <c r="E293" s="4"/>
      <c r="F293" s="4" t="s">
        <v>349</v>
      </c>
      <c r="G293" s="4" t="s">
        <v>561</v>
      </c>
      <c r="K293" s="4"/>
      <c r="L293" s="4"/>
      <c r="M293" s="4"/>
      <c r="N293" s="4"/>
      <c r="O293" s="4"/>
      <c r="P293" s="4"/>
      <c r="Q293" s="4"/>
      <c r="R293" s="4"/>
      <c r="S293" s="4"/>
      <c r="T293" s="4"/>
      <c r="U293" s="4"/>
      <c r="V293" s="4"/>
      <c r="W293" s="4"/>
    </row>
    <row r="294" spans="2:23">
      <c r="B294" s="2"/>
      <c r="D294" s="4"/>
      <c r="E294" s="4"/>
      <c r="F294" s="4" t="s">
        <v>444</v>
      </c>
      <c r="G294" s="4" t="s">
        <v>261</v>
      </c>
      <c r="H294" s="4"/>
      <c r="K294" s="4"/>
      <c r="L294" s="4"/>
      <c r="M294" s="4"/>
      <c r="N294" s="4"/>
      <c r="O294" s="4"/>
      <c r="P294" s="4"/>
      <c r="Q294" s="4"/>
      <c r="R294" s="4"/>
      <c r="S294" s="4"/>
      <c r="T294" s="4"/>
      <c r="U294" s="4"/>
      <c r="V294" s="4"/>
      <c r="W294" s="4"/>
    </row>
    <row r="295" spans="2:23">
      <c r="B295" s="2"/>
      <c r="D295" s="4"/>
      <c r="E295" s="4"/>
      <c r="F295" s="4" t="s">
        <v>262</v>
      </c>
      <c r="G295" s="4" t="s">
        <v>390</v>
      </c>
      <c r="K295" s="4"/>
      <c r="L295" s="4"/>
      <c r="M295" s="4"/>
      <c r="N295" s="4"/>
      <c r="O295" s="4"/>
      <c r="P295" s="4"/>
      <c r="Q295" s="4"/>
      <c r="R295" s="4"/>
      <c r="S295" s="4"/>
      <c r="T295" s="4"/>
      <c r="U295" s="4"/>
      <c r="V295" s="4"/>
      <c r="W295" s="4"/>
    </row>
    <row r="296" spans="2:23">
      <c r="B296" s="2"/>
      <c r="D296" s="4"/>
      <c r="E296" s="4"/>
      <c r="F296" s="4" t="s">
        <v>263</v>
      </c>
      <c r="G296" s="4" t="s">
        <v>170</v>
      </c>
      <c r="H296" s="4"/>
      <c r="K296" s="4"/>
      <c r="L296" s="4"/>
      <c r="M296" s="4"/>
      <c r="N296" s="4"/>
      <c r="O296" s="4"/>
      <c r="P296" s="4"/>
      <c r="Q296" s="4"/>
      <c r="R296" s="4"/>
      <c r="S296" s="4"/>
      <c r="T296" s="4"/>
      <c r="U296" s="4"/>
      <c r="V296" s="4"/>
      <c r="W296" s="4"/>
    </row>
    <row r="297" spans="2:23">
      <c r="B297" s="2"/>
      <c r="D297" s="4"/>
      <c r="E297" s="4" t="s">
        <v>581</v>
      </c>
      <c r="F297" s="4" t="s">
        <v>742</v>
      </c>
      <c r="G297" s="4"/>
      <c r="K297" s="4"/>
      <c r="L297" s="4"/>
      <c r="M297" s="4"/>
      <c r="N297" s="4"/>
      <c r="O297" s="4"/>
      <c r="P297" s="4"/>
      <c r="Q297" s="4"/>
      <c r="R297" s="4"/>
      <c r="S297" s="4"/>
      <c r="T297" s="4"/>
      <c r="U297" s="4"/>
      <c r="V297" s="4"/>
      <c r="W297" s="4"/>
    </row>
    <row r="298" spans="2:23">
      <c r="B298" s="2"/>
      <c r="D298" s="4"/>
      <c r="E298" s="4" t="s">
        <v>763</v>
      </c>
      <c r="F298" s="4" t="s">
        <v>749</v>
      </c>
      <c r="G298" s="4"/>
      <c r="K298" s="4"/>
      <c r="L298" s="4"/>
      <c r="M298" s="4"/>
      <c r="N298" s="4"/>
      <c r="O298" s="4"/>
      <c r="P298" s="4"/>
      <c r="Q298" s="4"/>
      <c r="R298" s="4"/>
      <c r="S298" s="4"/>
      <c r="T298" s="4"/>
      <c r="U298" s="4"/>
      <c r="V298" s="4"/>
      <c r="W298" s="4"/>
    </row>
    <row r="299" spans="2:23">
      <c r="B299" s="2"/>
      <c r="D299" s="4"/>
      <c r="E299" s="4"/>
      <c r="F299" s="120" t="s">
        <v>963</v>
      </c>
      <c r="G299" s="120"/>
      <c r="H299" s="120"/>
      <c r="I299" s="120"/>
      <c r="J299" s="120"/>
      <c r="K299" s="120"/>
      <c r="L299" s="120"/>
      <c r="M299" s="4"/>
      <c r="N299" s="4"/>
      <c r="O299" s="4"/>
      <c r="P299" s="4"/>
      <c r="Q299" s="4"/>
      <c r="R299" s="4"/>
      <c r="S299" s="4"/>
      <c r="T299" s="4"/>
      <c r="U299" s="4"/>
      <c r="V299" s="4"/>
      <c r="W299" s="4"/>
    </row>
    <row r="300" spans="2:23">
      <c r="B300" s="2"/>
      <c r="D300" s="4"/>
      <c r="E300" s="4"/>
      <c r="F300" s="120" t="s">
        <v>964</v>
      </c>
      <c r="G300" s="120"/>
      <c r="H300" s="120"/>
      <c r="I300" s="120"/>
      <c r="J300" s="120"/>
      <c r="K300" s="120"/>
      <c r="L300" s="120"/>
      <c r="M300" s="4"/>
      <c r="N300" s="4"/>
      <c r="O300" s="4"/>
      <c r="P300" s="4"/>
      <c r="Q300" s="4"/>
      <c r="R300" s="4"/>
      <c r="S300" s="4"/>
      <c r="T300" s="4"/>
      <c r="U300" s="4"/>
      <c r="V300" s="4"/>
      <c r="W300" s="4"/>
    </row>
    <row r="301" spans="2:23">
      <c r="B301" s="2"/>
      <c r="D301" s="4"/>
      <c r="E301" s="4"/>
      <c r="F301" s="120" t="s">
        <v>965</v>
      </c>
      <c r="G301" s="120"/>
      <c r="H301" s="120"/>
      <c r="I301" s="120"/>
      <c r="J301" s="120"/>
      <c r="K301" s="120"/>
      <c r="L301" s="120"/>
      <c r="M301" s="4"/>
      <c r="N301" s="4"/>
      <c r="O301" s="4"/>
      <c r="P301" s="4"/>
      <c r="Q301" s="4"/>
      <c r="R301" s="4"/>
      <c r="S301" s="4"/>
      <c r="T301" s="4"/>
      <c r="U301" s="4"/>
      <c r="V301" s="4"/>
      <c r="W301" s="4"/>
    </row>
    <row r="302" spans="2:23">
      <c r="B302" s="2"/>
      <c r="D302" s="4"/>
      <c r="E302" s="4"/>
      <c r="F302" s="120"/>
      <c r="G302" s="120"/>
      <c r="H302" s="120"/>
      <c r="I302" s="120"/>
      <c r="J302" s="120"/>
      <c r="K302" s="120"/>
      <c r="L302" s="120"/>
      <c r="M302" s="4"/>
      <c r="N302" s="4"/>
      <c r="O302" s="4"/>
      <c r="P302" s="4"/>
      <c r="Q302" s="4"/>
      <c r="R302" s="4"/>
      <c r="S302" s="4"/>
      <c r="T302" s="4"/>
      <c r="U302" s="4"/>
      <c r="V302" s="4"/>
      <c r="W302" s="4"/>
    </row>
    <row r="303" spans="2:23">
      <c r="B303" s="2"/>
      <c r="D303" s="2" t="s">
        <v>555</v>
      </c>
      <c r="E303" s="2" t="s">
        <v>289</v>
      </c>
      <c r="G303" s="4"/>
      <c r="H303" s="4"/>
      <c r="I303" s="4"/>
      <c r="J303" s="4"/>
      <c r="K303" s="4"/>
      <c r="L303" s="4"/>
      <c r="M303" s="4"/>
      <c r="N303" s="4"/>
      <c r="O303" s="4"/>
      <c r="P303" s="4"/>
      <c r="Q303" s="4"/>
      <c r="R303" s="4"/>
      <c r="S303" s="4"/>
      <c r="T303" s="4"/>
      <c r="U303" s="4"/>
      <c r="V303" s="4"/>
      <c r="W303" s="4"/>
    </row>
    <row r="304" spans="2:23">
      <c r="B304" s="2"/>
      <c r="D304" s="2"/>
      <c r="E304" s="4" t="s">
        <v>948</v>
      </c>
      <c r="F304" s="4"/>
      <c r="K304" s="4"/>
      <c r="L304" s="4"/>
      <c r="M304" s="4"/>
      <c r="N304" s="4"/>
      <c r="O304" s="4"/>
      <c r="P304" s="4"/>
      <c r="Q304" s="4"/>
      <c r="R304" s="4"/>
      <c r="S304" s="4"/>
      <c r="T304" s="4"/>
      <c r="U304" s="4"/>
      <c r="V304" s="4"/>
      <c r="W304" s="4"/>
    </row>
    <row r="305" spans="2:23">
      <c r="B305" s="2"/>
      <c r="D305" s="2"/>
      <c r="E305" s="4" t="s">
        <v>946</v>
      </c>
      <c r="F305" s="4"/>
      <c r="I305" s="4"/>
      <c r="J305" s="4"/>
      <c r="K305" s="4"/>
      <c r="L305" s="4"/>
      <c r="M305" s="4"/>
      <c r="N305" s="4"/>
      <c r="O305" s="4"/>
      <c r="P305" s="4"/>
      <c r="Q305" s="4"/>
      <c r="R305" s="4"/>
      <c r="S305" s="4"/>
      <c r="T305" s="4"/>
      <c r="U305" s="4"/>
      <c r="V305" s="4"/>
      <c r="W305" s="4"/>
    </row>
    <row r="306" spans="2:23">
      <c r="B306" s="2"/>
      <c r="D306" s="4"/>
      <c r="E306" s="4"/>
      <c r="F306" s="120"/>
      <c r="G306" s="120"/>
      <c r="H306" s="120"/>
      <c r="I306" s="120"/>
      <c r="J306" s="120"/>
      <c r="K306" s="120"/>
      <c r="L306" s="120"/>
      <c r="M306" s="4"/>
      <c r="N306" s="4"/>
      <c r="O306" s="4"/>
      <c r="P306" s="4"/>
      <c r="Q306" s="4"/>
      <c r="R306" s="4"/>
      <c r="S306" s="4"/>
      <c r="T306" s="4"/>
      <c r="U306" s="4"/>
      <c r="V306" s="4"/>
      <c r="W306" s="4"/>
    </row>
    <row r="307" spans="2:23">
      <c r="B307" s="2"/>
      <c r="C307" s="2" t="s">
        <v>7</v>
      </c>
      <c r="D307" s="2"/>
      <c r="F307" s="2"/>
      <c r="G307" s="2" t="s">
        <v>614</v>
      </c>
      <c r="I307" s="4"/>
      <c r="J307" s="4"/>
      <c r="K307" s="4"/>
      <c r="L307" s="4"/>
      <c r="M307" s="4"/>
      <c r="N307" s="4"/>
      <c r="O307" s="4"/>
      <c r="P307" s="4"/>
    </row>
    <row r="308" spans="2:23">
      <c r="B308" s="2"/>
      <c r="D308" s="2" t="s">
        <v>207</v>
      </c>
      <c r="E308" s="2" t="s">
        <v>264</v>
      </c>
      <c r="G308" s="2"/>
      <c r="H308" s="2"/>
      <c r="I308" s="2"/>
      <c r="J308" s="2"/>
      <c r="K308" s="2"/>
      <c r="L308" s="2"/>
      <c r="M308" s="2"/>
      <c r="N308" s="2"/>
      <c r="O308" s="2"/>
      <c r="P308" s="2"/>
      <c r="Q308" s="2"/>
      <c r="R308" s="2"/>
    </row>
    <row r="309" spans="2:23">
      <c r="B309" s="2"/>
      <c r="D309" s="2"/>
      <c r="E309" t="s">
        <v>265</v>
      </c>
      <c r="G309" s="4"/>
      <c r="I309" s="4"/>
      <c r="K309" s="4"/>
    </row>
    <row r="310" spans="2:23">
      <c r="B310" s="2"/>
      <c r="D310" s="2"/>
      <c r="E310" s="4" t="s">
        <v>799</v>
      </c>
      <c r="F310" s="4"/>
      <c r="G310" s="4"/>
      <c r="I310" s="4"/>
      <c r="K310" s="4"/>
    </row>
    <row r="311" spans="2:23">
      <c r="B311" s="2"/>
      <c r="D311" s="2"/>
      <c r="E311" s="4" t="s">
        <v>949</v>
      </c>
      <c r="F311" s="4"/>
      <c r="G311" s="4"/>
      <c r="I311" s="4"/>
      <c r="K311" s="4"/>
    </row>
    <row r="312" spans="2:23">
      <c r="B312" s="2"/>
      <c r="D312" s="2"/>
      <c r="E312" s="4" t="s">
        <v>800</v>
      </c>
      <c r="F312" s="4"/>
      <c r="G312" s="4"/>
      <c r="I312" s="4"/>
      <c r="K312" s="4"/>
    </row>
    <row r="313" spans="2:23">
      <c r="B313" s="2"/>
      <c r="D313" s="2"/>
      <c r="G313" s="4"/>
      <c r="I313" s="4"/>
      <c r="K313" s="4"/>
    </row>
    <row r="314" spans="2:23">
      <c r="B314" s="2"/>
      <c r="D314" s="2" t="s">
        <v>341</v>
      </c>
      <c r="E314" s="2" t="s">
        <v>751</v>
      </c>
      <c r="G314" s="4"/>
      <c r="H314" s="4"/>
      <c r="I314" s="4"/>
      <c r="J314" s="4"/>
      <c r="K314" s="4"/>
      <c r="P314" s="4"/>
      <c r="Q314" s="4"/>
      <c r="R314" s="4"/>
      <c r="S314" s="4"/>
    </row>
    <row r="315" spans="2:23">
      <c r="B315" s="2"/>
      <c r="D315" s="2"/>
      <c r="E315" t="s">
        <v>266</v>
      </c>
      <c r="G315" s="4"/>
      <c r="I315" s="4"/>
      <c r="J315" s="4"/>
      <c r="K315" s="4"/>
      <c r="L315" s="4"/>
      <c r="M315" s="4"/>
      <c r="N315" s="4"/>
      <c r="O315" s="4"/>
      <c r="P315" s="4"/>
      <c r="Q315" s="4"/>
      <c r="R315" s="4"/>
      <c r="S315" s="4"/>
    </row>
    <row r="316" spans="2:23">
      <c r="B316" s="2"/>
      <c r="D316" s="2"/>
      <c r="G316" s="4"/>
      <c r="I316" s="4"/>
      <c r="J316" s="4"/>
      <c r="K316" s="4"/>
      <c r="L316" s="4"/>
      <c r="M316" s="4"/>
      <c r="N316" s="4"/>
      <c r="O316" s="4"/>
      <c r="P316" s="4"/>
      <c r="Q316" s="4"/>
      <c r="R316" s="4"/>
      <c r="S316" s="4"/>
    </row>
    <row r="317" spans="2:23">
      <c r="B317" s="2"/>
      <c r="D317" s="170" t="s">
        <v>574</v>
      </c>
      <c r="E317" s="170" t="s">
        <v>735</v>
      </c>
      <c r="F317" s="3"/>
      <c r="G317" s="4"/>
      <c r="H317" s="4"/>
      <c r="I317" s="4"/>
      <c r="J317" s="4"/>
      <c r="K317" s="4"/>
      <c r="L317" s="4"/>
      <c r="M317" s="4"/>
      <c r="N317" s="4"/>
      <c r="O317" s="4"/>
      <c r="P317" s="4"/>
      <c r="Q317" s="4"/>
      <c r="R317" s="4"/>
      <c r="S317" s="4"/>
    </row>
    <row r="318" spans="2:23">
      <c r="B318" s="2"/>
      <c r="E318" t="s">
        <v>732</v>
      </c>
      <c r="I318" s="4"/>
      <c r="J318" s="4"/>
      <c r="K318" s="4"/>
      <c r="L318" s="4"/>
      <c r="M318" s="4"/>
      <c r="N318" s="4"/>
      <c r="O318" s="4"/>
      <c r="P318" s="4"/>
      <c r="Q318" s="4"/>
      <c r="R318" s="4"/>
      <c r="S318" s="4"/>
    </row>
    <row r="319" spans="2:23">
      <c r="B319" s="2"/>
      <c r="E319" t="s">
        <v>733</v>
      </c>
      <c r="I319" s="4"/>
      <c r="J319" s="4"/>
      <c r="K319" s="4"/>
      <c r="L319" s="4"/>
      <c r="M319" s="4"/>
      <c r="N319" s="4"/>
      <c r="O319" s="4"/>
      <c r="P319" s="4"/>
      <c r="Q319" s="4"/>
      <c r="R319" s="4"/>
      <c r="S319" s="4"/>
    </row>
    <row r="320" spans="2:23">
      <c r="B320" s="2"/>
      <c r="E320" t="s">
        <v>734</v>
      </c>
      <c r="I320" s="4"/>
      <c r="J320" s="4"/>
      <c r="K320" s="4"/>
      <c r="L320" s="4"/>
      <c r="M320" s="4"/>
      <c r="N320" s="4"/>
      <c r="O320" s="4"/>
      <c r="P320" s="4"/>
      <c r="Q320" s="4"/>
      <c r="R320" s="4"/>
      <c r="S320" s="4"/>
    </row>
    <row r="321" spans="1:38">
      <c r="B321" s="2"/>
      <c r="I321" s="4"/>
      <c r="J321" s="4"/>
      <c r="K321" s="4"/>
      <c r="L321" s="4"/>
      <c r="M321" s="4"/>
      <c r="N321" s="4"/>
      <c r="O321" s="4"/>
      <c r="P321" s="4"/>
      <c r="Q321" s="4"/>
      <c r="R321" s="4"/>
      <c r="S321" s="4"/>
    </row>
    <row r="322" spans="1:38">
      <c r="B322" s="2"/>
      <c r="C322" s="2" t="s">
        <v>8</v>
      </c>
      <c r="G322" s="2" t="s">
        <v>615</v>
      </c>
      <c r="I322" s="4"/>
      <c r="J322" s="4"/>
      <c r="K322" s="4"/>
      <c r="L322" s="4"/>
      <c r="M322" s="4"/>
      <c r="N322" s="4"/>
      <c r="O322" s="4"/>
      <c r="P322" s="4"/>
      <c r="Q322" s="4"/>
      <c r="R322" s="4"/>
      <c r="S322" s="4"/>
    </row>
    <row r="323" spans="1:38">
      <c r="A323" t="s">
        <v>250</v>
      </c>
      <c r="D323" s="2" t="s">
        <v>207</v>
      </c>
      <c r="E323" s="2" t="s">
        <v>615</v>
      </c>
      <c r="J323" s="2"/>
      <c r="K323" s="2"/>
      <c r="L323" s="2"/>
      <c r="M323" s="4"/>
      <c r="N323" s="4"/>
      <c r="O323" s="4"/>
      <c r="P323" s="4"/>
      <c r="Q323" s="4"/>
      <c r="R323" s="4"/>
      <c r="S323" s="4"/>
    </row>
    <row r="324" spans="1:38">
      <c r="E324" t="s">
        <v>112</v>
      </c>
      <c r="F324" s="4" t="s">
        <v>950</v>
      </c>
      <c r="J324" s="4"/>
      <c r="K324" s="4"/>
      <c r="L324" s="4"/>
      <c r="M324" s="4"/>
      <c r="N324" s="4"/>
      <c r="O324" s="4"/>
      <c r="P324" s="4"/>
      <c r="Q324" s="4"/>
      <c r="R324" s="4"/>
      <c r="S324" s="4"/>
    </row>
    <row r="325" spans="1:38">
      <c r="E325" s="4" t="s">
        <v>113</v>
      </c>
      <c r="F325" t="s">
        <v>736</v>
      </c>
      <c r="J325" s="4"/>
      <c r="K325" s="4"/>
      <c r="L325" s="4"/>
      <c r="M325" s="4"/>
      <c r="N325" s="4"/>
      <c r="O325" s="4"/>
      <c r="P325" s="4"/>
      <c r="Q325" s="4"/>
      <c r="R325" s="4"/>
      <c r="S325" s="4"/>
    </row>
    <row r="326" spans="1:38">
      <c r="F326" s="120" t="s">
        <v>1151</v>
      </c>
      <c r="I326" s="120"/>
      <c r="J326" s="4"/>
      <c r="K326" s="4"/>
      <c r="L326" s="4"/>
      <c r="M326" s="4"/>
      <c r="N326" s="4"/>
      <c r="O326" s="4"/>
      <c r="P326" s="4"/>
      <c r="Q326" s="4"/>
      <c r="R326" s="4"/>
      <c r="S326" s="4"/>
    </row>
    <row r="327" spans="1:38">
      <c r="F327" s="120" t="s">
        <v>1152</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c r="A329" s="5"/>
      <c r="B329" s="11" t="s">
        <v>515</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c r="B330" s="2"/>
      <c r="D330" s="2"/>
      <c r="E330" s="2"/>
      <c r="F330" s="2"/>
      <c r="G330" s="2"/>
      <c r="H330" s="2"/>
      <c r="I330" s="2"/>
      <c r="J330" s="4"/>
      <c r="K330" s="4"/>
      <c r="L330" s="4"/>
      <c r="M330" s="4"/>
      <c r="N330" s="4"/>
      <c r="O330" s="4"/>
      <c r="P330" s="4"/>
      <c r="Q330" s="4"/>
      <c r="R330" s="4"/>
      <c r="S330" s="4"/>
    </row>
    <row r="331" spans="1:38">
      <c r="B331" s="2"/>
      <c r="C331" s="2" t="s">
        <v>430</v>
      </c>
      <c r="G331" s="2" t="s">
        <v>22</v>
      </c>
      <c r="I331" s="2"/>
      <c r="J331" s="4"/>
      <c r="K331" s="4"/>
      <c r="L331" s="4"/>
      <c r="M331" s="4"/>
      <c r="N331" s="4"/>
      <c r="O331" s="4"/>
      <c r="P331" s="4"/>
      <c r="Q331" s="4"/>
      <c r="R331" s="4"/>
      <c r="S331" s="4"/>
    </row>
    <row r="332" spans="1:38">
      <c r="B332" s="2"/>
      <c r="C332" s="2"/>
      <c r="D332" s="2" t="s">
        <v>207</v>
      </c>
      <c r="E332" s="2" t="s">
        <v>22</v>
      </c>
      <c r="G332" s="2"/>
      <c r="I332" s="2"/>
      <c r="J332" s="4"/>
      <c r="K332" s="4"/>
      <c r="L332" s="4"/>
      <c r="M332" s="4"/>
      <c r="N332" s="4"/>
      <c r="O332" s="4"/>
      <c r="P332" s="4"/>
      <c r="Q332" s="4"/>
      <c r="R332" s="4"/>
      <c r="S332" s="4"/>
    </row>
    <row r="333" spans="1:38">
      <c r="B333" s="2"/>
      <c r="E333" t="s">
        <v>112</v>
      </c>
      <c r="F333" t="s">
        <v>739</v>
      </c>
      <c r="J333" s="4"/>
      <c r="K333" s="4"/>
      <c r="L333" s="4"/>
      <c r="M333" s="4"/>
      <c r="N333" s="4"/>
      <c r="O333" s="4"/>
      <c r="P333" s="4"/>
      <c r="Q333" s="4"/>
      <c r="R333" s="4"/>
      <c r="S333" s="4"/>
    </row>
    <row r="334" spans="1:38">
      <c r="B334" s="2"/>
      <c r="E334" s="4"/>
      <c r="F334" s="4" t="s">
        <v>740</v>
      </c>
      <c r="J334" s="4"/>
      <c r="K334" s="4"/>
      <c r="L334" s="4"/>
      <c r="M334" s="4"/>
      <c r="N334" s="4"/>
      <c r="O334" s="4"/>
      <c r="P334" s="4"/>
      <c r="Q334" s="4"/>
      <c r="R334" s="4"/>
      <c r="S334" s="4"/>
    </row>
    <row r="335" spans="1:38">
      <c r="B335" s="2"/>
      <c r="E335" s="4"/>
      <c r="F335" s="4" t="s">
        <v>741</v>
      </c>
      <c r="I335" s="4"/>
      <c r="J335" s="4"/>
      <c r="K335" s="4"/>
      <c r="L335" s="4"/>
      <c r="M335" s="4"/>
      <c r="N335" s="4"/>
      <c r="O335" s="4"/>
      <c r="P335" s="4"/>
      <c r="Q335" s="4"/>
      <c r="R335" s="4"/>
      <c r="S335" s="4"/>
    </row>
    <row r="336" spans="1:38">
      <c r="B336" s="2"/>
      <c r="E336" s="4" t="s">
        <v>113</v>
      </c>
      <c r="F336" s="1480" t="s">
        <v>1155</v>
      </c>
      <c r="G336" s="1480"/>
      <c r="H336" s="1480"/>
      <c r="I336" s="1480"/>
      <c r="J336" s="1480"/>
      <c r="K336" s="1480"/>
      <c r="L336" s="1480"/>
      <c r="M336" s="1480"/>
      <c r="N336" s="1480"/>
      <c r="O336" s="1480"/>
      <c r="P336" s="1480"/>
      <c r="Q336" s="1480"/>
      <c r="R336" s="1480"/>
      <c r="S336" s="1480"/>
      <c r="T336" s="1480"/>
      <c r="U336" s="1480"/>
      <c r="V336" s="1480"/>
      <c r="W336" s="1480"/>
      <c r="X336" s="1480"/>
      <c r="Y336" s="1480"/>
      <c r="Z336" s="1480"/>
      <c r="AA336" s="1480"/>
      <c r="AB336" s="1480"/>
      <c r="AC336" s="1480"/>
      <c r="AD336" s="1480"/>
      <c r="AE336" s="1480"/>
      <c r="AF336" s="1480"/>
      <c r="AG336" s="1480"/>
      <c r="AH336" s="1480"/>
      <c r="AI336" s="1480"/>
      <c r="AJ336" s="1480"/>
      <c r="AK336" s="1480"/>
    </row>
    <row r="337" spans="2:37">
      <c r="B337" s="2"/>
      <c r="E337" s="4"/>
      <c r="F337" s="1480"/>
      <c r="G337" s="1480"/>
      <c r="H337" s="1480"/>
      <c r="I337" s="1480"/>
      <c r="J337" s="1480"/>
      <c r="K337" s="1480"/>
      <c r="L337" s="1480"/>
      <c r="M337" s="1480"/>
      <c r="N337" s="1480"/>
      <c r="O337" s="1480"/>
      <c r="P337" s="1480"/>
      <c r="Q337" s="1480"/>
      <c r="R337" s="1480"/>
      <c r="S337" s="1480"/>
      <c r="T337" s="1480"/>
      <c r="U337" s="1480"/>
      <c r="V337" s="1480"/>
      <c r="W337" s="1480"/>
      <c r="X337" s="1480"/>
      <c r="Y337" s="1480"/>
      <c r="Z337" s="1480"/>
      <c r="AA337" s="1480"/>
      <c r="AB337" s="1480"/>
      <c r="AC337" s="1480"/>
      <c r="AD337" s="1480"/>
      <c r="AE337" s="1480"/>
      <c r="AF337" s="1480"/>
      <c r="AG337" s="1480"/>
      <c r="AH337" s="1480"/>
      <c r="AI337" s="1480"/>
      <c r="AJ337" s="1480"/>
      <c r="AK337" s="1480"/>
    </row>
    <row r="338" spans="2:37">
      <c r="B338" s="2"/>
      <c r="E338" s="4"/>
      <c r="F338" s="1480"/>
      <c r="G338" s="1480"/>
      <c r="H338" s="1480"/>
      <c r="I338" s="1480"/>
      <c r="J338" s="1480"/>
      <c r="K338" s="1480"/>
      <c r="L338" s="1480"/>
      <c r="M338" s="1480"/>
      <c r="N338" s="1480"/>
      <c r="O338" s="1480"/>
      <c r="P338" s="1480"/>
      <c r="Q338" s="1480"/>
      <c r="R338" s="1480"/>
      <c r="S338" s="1480"/>
      <c r="T338" s="1480"/>
      <c r="U338" s="1480"/>
      <c r="V338" s="1480"/>
      <c r="W338" s="1480"/>
      <c r="X338" s="1480"/>
      <c r="Y338" s="1480"/>
      <c r="Z338" s="1480"/>
      <c r="AA338" s="1480"/>
      <c r="AB338" s="1480"/>
      <c r="AC338" s="1480"/>
      <c r="AD338" s="1480"/>
      <c r="AE338" s="1480"/>
      <c r="AF338" s="1480"/>
      <c r="AG338" s="1480"/>
      <c r="AH338" s="1480"/>
      <c r="AI338" s="1480"/>
      <c r="AJ338" s="1480"/>
      <c r="AK338" s="1480"/>
    </row>
    <row r="339" spans="2:37">
      <c r="B339" s="2"/>
      <c r="F339" s="4"/>
      <c r="H339" s="4"/>
      <c r="I339" s="4"/>
      <c r="J339" s="4"/>
      <c r="K339" s="4"/>
      <c r="L339" s="4"/>
      <c r="M339" s="4"/>
      <c r="N339" s="4"/>
      <c r="O339" s="4"/>
      <c r="P339" s="4"/>
      <c r="Q339" s="4"/>
      <c r="R339" s="4"/>
      <c r="S339" s="4"/>
    </row>
    <row r="340" spans="2:37">
      <c r="B340" s="2"/>
      <c r="C340" s="2" t="s">
        <v>431</v>
      </c>
      <c r="G340" s="2" t="s">
        <v>1228</v>
      </c>
      <c r="I340" s="2"/>
      <c r="J340" s="4"/>
      <c r="K340" s="4"/>
      <c r="L340" s="4"/>
      <c r="M340" s="4"/>
      <c r="N340" s="4"/>
      <c r="O340" s="4"/>
      <c r="P340" s="4"/>
      <c r="Q340" s="4"/>
      <c r="R340" s="4"/>
      <c r="S340" s="4"/>
    </row>
    <row r="341" spans="2:37" ht="13.15" customHeight="1">
      <c r="B341" s="2"/>
      <c r="E341" s="1801" t="s">
        <v>1235</v>
      </c>
      <c r="F341" s="1801"/>
      <c r="G341" s="1801"/>
      <c r="H341" s="1801"/>
      <c r="I341" s="1801"/>
      <c r="J341" s="1801"/>
      <c r="K341" s="1801"/>
      <c r="L341" s="1801"/>
      <c r="M341" s="1801"/>
      <c r="N341" s="1801"/>
      <c r="O341" s="1801"/>
      <c r="P341" s="1801"/>
      <c r="Q341" s="1801"/>
      <c r="R341" s="1801"/>
      <c r="S341" s="1801"/>
      <c r="T341" s="1801"/>
      <c r="U341" s="1801"/>
      <c r="V341" s="1801"/>
      <c r="W341" s="1801"/>
      <c r="X341" s="1801"/>
      <c r="Y341" s="1801"/>
      <c r="Z341" s="1801"/>
      <c r="AA341" s="1801"/>
      <c r="AB341" s="1801"/>
      <c r="AC341" s="1801"/>
      <c r="AD341" s="1801"/>
      <c r="AE341" s="1801"/>
      <c r="AF341" s="1801"/>
      <c r="AG341" s="1801"/>
      <c r="AH341" s="1801"/>
      <c r="AI341" s="1801"/>
      <c r="AJ341" s="1801"/>
      <c r="AK341" s="1801"/>
    </row>
    <row r="342" spans="2:37">
      <c r="B342" s="2"/>
      <c r="E342" s="1801"/>
      <c r="F342" s="1801"/>
      <c r="G342" s="1801"/>
      <c r="H342" s="1801"/>
      <c r="I342" s="1801"/>
      <c r="J342" s="1801"/>
      <c r="K342" s="1801"/>
      <c r="L342" s="1801"/>
      <c r="M342" s="1801"/>
      <c r="N342" s="1801"/>
      <c r="O342" s="1801"/>
      <c r="P342" s="1801"/>
      <c r="Q342" s="1801"/>
      <c r="R342" s="1801"/>
      <c r="S342" s="1801"/>
      <c r="T342" s="1801"/>
      <c r="U342" s="1801"/>
      <c r="V342" s="1801"/>
      <c r="W342" s="1801"/>
      <c r="X342" s="1801"/>
      <c r="Y342" s="1801"/>
      <c r="Z342" s="1801"/>
      <c r="AA342" s="1801"/>
      <c r="AB342" s="1801"/>
      <c r="AC342" s="1801"/>
      <c r="AD342" s="1801"/>
      <c r="AE342" s="1801"/>
      <c r="AF342" s="1801"/>
      <c r="AG342" s="1801"/>
      <c r="AH342" s="1801"/>
      <c r="AI342" s="1801"/>
      <c r="AJ342" s="1801"/>
      <c r="AK342" s="1801"/>
    </row>
    <row r="343" spans="2:37">
      <c r="B343" s="2"/>
      <c r="E343" s="1801"/>
      <c r="F343" s="1801"/>
      <c r="G343" s="1801"/>
      <c r="H343" s="1801"/>
      <c r="I343" s="1801"/>
      <c r="J343" s="1801"/>
      <c r="K343" s="1801"/>
      <c r="L343" s="1801"/>
      <c r="M343" s="1801"/>
      <c r="N343" s="1801"/>
      <c r="O343" s="1801"/>
      <c r="P343" s="1801"/>
      <c r="Q343" s="1801"/>
      <c r="R343" s="1801"/>
      <c r="S343" s="1801"/>
      <c r="T343" s="1801"/>
      <c r="U343" s="1801"/>
      <c r="V343" s="1801"/>
      <c r="W343" s="1801"/>
      <c r="X343" s="1801"/>
      <c r="Y343" s="1801"/>
      <c r="Z343" s="1801"/>
      <c r="AA343" s="1801"/>
      <c r="AB343" s="1801"/>
      <c r="AC343" s="1801"/>
      <c r="AD343" s="1801"/>
      <c r="AE343" s="1801"/>
      <c r="AF343" s="1801"/>
      <c r="AG343" s="1801"/>
      <c r="AH343" s="1801"/>
      <c r="AI343" s="1801"/>
      <c r="AJ343" s="1801"/>
      <c r="AK343" s="1801"/>
    </row>
    <row r="344" spans="2:37">
      <c r="B344" s="2"/>
      <c r="E344" s="1801"/>
      <c r="F344" s="1801"/>
      <c r="G344" s="1801"/>
      <c r="H344" s="1801"/>
      <c r="I344" s="1801"/>
      <c r="J344" s="1801"/>
      <c r="K344" s="1801"/>
      <c r="L344" s="1801"/>
      <c r="M344" s="1801"/>
      <c r="N344" s="1801"/>
      <c r="O344" s="1801"/>
      <c r="P344" s="1801"/>
      <c r="Q344" s="1801"/>
      <c r="R344" s="1801"/>
      <c r="S344" s="1801"/>
      <c r="T344" s="1801"/>
      <c r="U344" s="1801"/>
      <c r="V344" s="1801"/>
      <c r="W344" s="1801"/>
      <c r="X344" s="1801"/>
      <c r="Y344" s="1801"/>
      <c r="Z344" s="1801"/>
      <c r="AA344" s="1801"/>
      <c r="AB344" s="1801"/>
      <c r="AC344" s="1801"/>
      <c r="AD344" s="1801"/>
      <c r="AE344" s="1801"/>
      <c r="AF344" s="1801"/>
      <c r="AG344" s="1801"/>
      <c r="AH344" s="1801"/>
      <c r="AI344" s="1801"/>
      <c r="AJ344" s="1801"/>
      <c r="AK344" s="1801"/>
    </row>
    <row r="345" spans="2:37">
      <c r="B345" s="2"/>
      <c r="E345" s="1801"/>
      <c r="F345" s="1801"/>
      <c r="G345" s="1801"/>
      <c r="H345" s="1801"/>
      <c r="I345" s="1801"/>
      <c r="J345" s="1801"/>
      <c r="K345" s="1801"/>
      <c r="L345" s="1801"/>
      <c r="M345" s="1801"/>
      <c r="N345" s="1801"/>
      <c r="O345" s="1801"/>
      <c r="P345" s="1801"/>
      <c r="Q345" s="1801"/>
      <c r="R345" s="1801"/>
      <c r="S345" s="1801"/>
      <c r="T345" s="1801"/>
      <c r="U345" s="1801"/>
      <c r="V345" s="1801"/>
      <c r="W345" s="1801"/>
      <c r="X345" s="1801"/>
      <c r="Y345" s="1801"/>
      <c r="Z345" s="1801"/>
      <c r="AA345" s="1801"/>
      <c r="AB345" s="1801"/>
      <c r="AC345" s="1801"/>
      <c r="AD345" s="1801"/>
      <c r="AE345" s="1801"/>
      <c r="AF345" s="1801"/>
      <c r="AG345" s="1801"/>
      <c r="AH345" s="1801"/>
      <c r="AI345" s="1801"/>
      <c r="AJ345" s="1801"/>
      <c r="AK345" s="1801"/>
    </row>
    <row r="346" spans="2:37">
      <c r="B346" s="2"/>
      <c r="E346" s="3" t="s">
        <v>112</v>
      </c>
      <c r="F346" s="1480" t="s">
        <v>1237</v>
      </c>
      <c r="G346" s="1480"/>
      <c r="H346" s="1480"/>
      <c r="I346" s="1480"/>
      <c r="J346" s="1480"/>
      <c r="K346" s="1480"/>
      <c r="L346" s="1480"/>
      <c r="M346" s="1480"/>
      <c r="N346" s="1480"/>
      <c r="O346" s="1480"/>
      <c r="P346" s="1480"/>
      <c r="Q346" s="1480"/>
      <c r="R346" s="1480"/>
      <c r="S346" s="1480"/>
      <c r="T346" s="1480"/>
      <c r="U346" s="1480"/>
      <c r="V346" s="1480"/>
      <c r="W346" s="1480"/>
      <c r="X346" s="1480"/>
      <c r="Y346" s="1480"/>
      <c r="Z346" s="1480"/>
      <c r="AA346" s="1480"/>
      <c r="AB346" s="1480"/>
      <c r="AC346" s="1480"/>
      <c r="AD346" s="1480"/>
      <c r="AE346" s="1480"/>
      <c r="AF346" s="1480"/>
      <c r="AG346" s="1480"/>
      <c r="AH346" s="1480"/>
      <c r="AI346" s="1480"/>
      <c r="AJ346" s="1480"/>
      <c r="AK346" s="1480"/>
    </row>
    <row r="347" spans="2:37">
      <c r="B347" s="2"/>
      <c r="E347" s="3"/>
      <c r="F347" s="1480"/>
      <c r="G347" s="1480"/>
      <c r="H347" s="1480"/>
      <c r="I347" s="1480"/>
      <c r="J347" s="1480"/>
      <c r="K347" s="1480"/>
      <c r="L347" s="1480"/>
      <c r="M347" s="1480"/>
      <c r="N347" s="1480"/>
      <c r="O347" s="1480"/>
      <c r="P347" s="1480"/>
      <c r="Q347" s="1480"/>
      <c r="R347" s="1480"/>
      <c r="S347" s="1480"/>
      <c r="T347" s="1480"/>
      <c r="U347" s="1480"/>
      <c r="V347" s="1480"/>
      <c r="W347" s="1480"/>
      <c r="X347" s="1480"/>
      <c r="Y347" s="1480"/>
      <c r="Z347" s="1480"/>
      <c r="AA347" s="1480"/>
      <c r="AB347" s="1480"/>
      <c r="AC347" s="1480"/>
      <c r="AD347" s="1480"/>
      <c r="AE347" s="1480"/>
      <c r="AF347" s="1480"/>
      <c r="AG347" s="1480"/>
      <c r="AH347" s="1480"/>
      <c r="AI347" s="1480"/>
      <c r="AJ347" s="1480"/>
      <c r="AK347" s="1480"/>
    </row>
    <row r="348" spans="2:37">
      <c r="B348" s="2"/>
      <c r="E348" s="3"/>
      <c r="F348" s="1480"/>
      <c r="G348" s="1480"/>
      <c r="H348" s="1480"/>
      <c r="I348" s="1480"/>
      <c r="J348" s="1480"/>
      <c r="K348" s="1480"/>
      <c r="L348" s="1480"/>
      <c r="M348" s="1480"/>
      <c r="N348" s="1480"/>
      <c r="O348" s="1480"/>
      <c r="P348" s="1480"/>
      <c r="Q348" s="1480"/>
      <c r="R348" s="1480"/>
      <c r="S348" s="1480"/>
      <c r="T348" s="1480"/>
      <c r="U348" s="1480"/>
      <c r="V348" s="1480"/>
      <c r="W348" s="1480"/>
      <c r="X348" s="1480"/>
      <c r="Y348" s="1480"/>
      <c r="Z348" s="1480"/>
      <c r="AA348" s="1480"/>
      <c r="AB348" s="1480"/>
      <c r="AC348" s="1480"/>
      <c r="AD348" s="1480"/>
      <c r="AE348" s="1480"/>
      <c r="AF348" s="1480"/>
      <c r="AG348" s="1480"/>
      <c r="AH348" s="1480"/>
      <c r="AI348" s="1480"/>
      <c r="AJ348" s="1480"/>
      <c r="AK348" s="1480"/>
    </row>
    <row r="349" spans="2:37">
      <c r="B349" s="2"/>
      <c r="E349" s="3"/>
      <c r="F349" s="1480"/>
      <c r="G349" s="1480"/>
      <c r="H349" s="1480"/>
      <c r="I349" s="1480"/>
      <c r="J349" s="1480"/>
      <c r="K349" s="1480"/>
      <c r="L349" s="1480"/>
      <c r="M349" s="1480"/>
      <c r="N349" s="1480"/>
      <c r="O349" s="1480"/>
      <c r="P349" s="1480"/>
      <c r="Q349" s="1480"/>
      <c r="R349" s="1480"/>
      <c r="S349" s="1480"/>
      <c r="T349" s="1480"/>
      <c r="U349" s="1480"/>
      <c r="V349" s="1480"/>
      <c r="W349" s="1480"/>
      <c r="X349" s="1480"/>
      <c r="Y349" s="1480"/>
      <c r="Z349" s="1480"/>
      <c r="AA349" s="1480"/>
      <c r="AB349" s="1480"/>
      <c r="AC349" s="1480"/>
      <c r="AD349" s="1480"/>
      <c r="AE349" s="1480"/>
      <c r="AF349" s="1480"/>
      <c r="AG349" s="1480"/>
      <c r="AH349" s="1480"/>
      <c r="AI349" s="1480"/>
      <c r="AJ349" s="1480"/>
      <c r="AK349" s="1480"/>
    </row>
    <row r="350" spans="2:37">
      <c r="B350" s="2"/>
      <c r="E350" s="3" t="s">
        <v>113</v>
      </c>
      <c r="F350" s="1480" t="s">
        <v>1236</v>
      </c>
      <c r="G350" s="1480"/>
      <c r="H350" s="1480"/>
      <c r="I350" s="1480"/>
      <c r="J350" s="1480"/>
      <c r="K350" s="1480"/>
      <c r="L350" s="1480"/>
      <c r="M350" s="1480"/>
      <c r="N350" s="1480"/>
      <c r="O350" s="1480"/>
      <c r="P350" s="1480"/>
      <c r="Q350" s="1480"/>
      <c r="R350" s="1480"/>
      <c r="S350" s="1480"/>
      <c r="T350" s="1480"/>
      <c r="U350" s="1480"/>
      <c r="V350" s="1480"/>
      <c r="W350" s="1480"/>
      <c r="X350" s="1480"/>
      <c r="Y350" s="1480"/>
      <c r="Z350" s="1480"/>
      <c r="AA350" s="1480"/>
      <c r="AB350" s="1480"/>
      <c r="AC350" s="1480"/>
      <c r="AD350" s="1480"/>
      <c r="AE350" s="1480"/>
      <c r="AF350" s="1480"/>
      <c r="AG350" s="1480"/>
      <c r="AH350" s="1480"/>
      <c r="AI350" s="1480"/>
      <c r="AJ350" s="1480"/>
      <c r="AK350" s="1480"/>
    </row>
    <row r="351" spans="2:37">
      <c r="B351" s="2"/>
      <c r="F351" s="1480"/>
      <c r="G351" s="1480"/>
      <c r="H351" s="1480"/>
      <c r="I351" s="1480"/>
      <c r="J351" s="1480"/>
      <c r="K351" s="1480"/>
      <c r="L351" s="1480"/>
      <c r="M351" s="1480"/>
      <c r="N351" s="1480"/>
      <c r="O351" s="1480"/>
      <c r="P351" s="1480"/>
      <c r="Q351" s="1480"/>
      <c r="R351" s="1480"/>
      <c r="S351" s="1480"/>
      <c r="T351" s="1480"/>
      <c r="U351" s="1480"/>
      <c r="V351" s="1480"/>
      <c r="W351" s="1480"/>
      <c r="X351" s="1480"/>
      <c r="Y351" s="1480"/>
      <c r="Z351" s="1480"/>
      <c r="AA351" s="1480"/>
      <c r="AB351" s="1480"/>
      <c r="AC351" s="1480"/>
      <c r="AD351" s="1480"/>
      <c r="AE351" s="1480"/>
      <c r="AF351" s="1480"/>
      <c r="AG351" s="1480"/>
      <c r="AH351" s="1480"/>
      <c r="AI351" s="1480"/>
      <c r="AJ351" s="1480"/>
      <c r="AK351" s="1480"/>
    </row>
    <row r="352" spans="2:37">
      <c r="B352" s="2"/>
      <c r="F352" s="1480"/>
      <c r="G352" s="1480"/>
      <c r="H352" s="1480"/>
      <c r="I352" s="1480"/>
      <c r="J352" s="1480"/>
      <c r="K352" s="1480"/>
      <c r="L352" s="1480"/>
      <c r="M352" s="1480"/>
      <c r="N352" s="1480"/>
      <c r="O352" s="1480"/>
      <c r="P352" s="1480"/>
      <c r="Q352" s="1480"/>
      <c r="R352" s="1480"/>
      <c r="S352" s="1480"/>
      <c r="T352" s="1480"/>
      <c r="U352" s="1480"/>
      <c r="V352" s="1480"/>
      <c r="W352" s="1480"/>
      <c r="X352" s="1480"/>
      <c r="Y352" s="1480"/>
      <c r="Z352" s="1480"/>
      <c r="AA352" s="1480"/>
      <c r="AB352" s="1480"/>
      <c r="AC352" s="1480"/>
      <c r="AD352" s="1480"/>
      <c r="AE352" s="1480"/>
      <c r="AF352" s="1480"/>
      <c r="AG352" s="1480"/>
      <c r="AH352" s="1480"/>
      <c r="AI352" s="1480"/>
      <c r="AJ352" s="1480"/>
      <c r="AK352" s="1480"/>
    </row>
    <row r="353" spans="1:38">
      <c r="B353" s="2"/>
      <c r="F353" s="4"/>
      <c r="H353" s="4"/>
      <c r="I353" s="4"/>
      <c r="J353" s="4"/>
      <c r="K353" s="4"/>
      <c r="L353" s="4"/>
      <c r="M353" s="4"/>
      <c r="N353" s="4"/>
      <c r="O353" s="4"/>
      <c r="P353" s="4"/>
      <c r="Q353" s="4"/>
      <c r="R353" s="4"/>
      <c r="S353" s="4"/>
    </row>
    <row r="354" spans="1:38">
      <c r="A354" s="5"/>
      <c r="B354" s="11" t="s">
        <v>752</v>
      </c>
      <c r="C354" s="11" t="s">
        <v>616</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c r="B355" s="2"/>
      <c r="D355" s="512"/>
      <c r="E355" s="2"/>
      <c r="M355" s="4"/>
      <c r="N355" s="4"/>
      <c r="O355" s="4"/>
      <c r="P355" s="4"/>
      <c r="Q355" s="4"/>
      <c r="R355" s="4"/>
      <c r="S355" s="4"/>
      <c r="T355" s="4"/>
    </row>
    <row r="356" spans="1:38" ht="13.15" customHeight="1">
      <c r="B356" s="2"/>
      <c r="C356" s="11" t="s">
        <v>1218</v>
      </c>
      <c r="D356" s="5"/>
      <c r="E356" s="5"/>
      <c r="F356" s="5"/>
      <c r="G356" s="5"/>
      <c r="H356" s="5"/>
      <c r="I356" s="452"/>
      <c r="J356" s="452"/>
      <c r="K356" s="452"/>
      <c r="L356" s="452"/>
      <c r="M356" s="452"/>
      <c r="N356" s="452"/>
      <c r="O356" s="452"/>
      <c r="P356" s="452"/>
      <c r="Q356" s="452"/>
      <c r="R356" s="452"/>
      <c r="S356" s="452"/>
      <c r="T356" s="452"/>
      <c r="U356" s="452"/>
      <c r="V356" s="452"/>
      <c r="W356" s="452"/>
      <c r="X356" s="452"/>
      <c r="Y356" s="452"/>
      <c r="Z356" s="452"/>
      <c r="AA356" s="452"/>
      <c r="AB356" s="452"/>
      <c r="AC356" s="452"/>
      <c r="AD356" s="452"/>
      <c r="AE356" s="452"/>
      <c r="AF356" s="452"/>
      <c r="AG356" s="452"/>
      <c r="AH356" s="452"/>
      <c r="AI356" s="452"/>
      <c r="AJ356" s="452"/>
      <c r="AK356" s="452"/>
    </row>
    <row r="357" spans="1:38" ht="13.15" customHeight="1">
      <c r="B357" s="2"/>
      <c r="C357" s="2"/>
      <c r="E357" s="453"/>
      <c r="F357" s="453"/>
      <c r="G357" s="453"/>
      <c r="H357" s="453"/>
      <c r="I357" s="453"/>
      <c r="J357" s="453"/>
      <c r="K357" s="453"/>
      <c r="L357" s="453"/>
      <c r="M357" s="453"/>
      <c r="N357" s="453"/>
      <c r="O357" s="453"/>
      <c r="P357" s="453"/>
      <c r="Q357" s="453"/>
      <c r="R357" s="453"/>
      <c r="S357" s="453"/>
      <c r="T357" s="453"/>
      <c r="U357" s="453"/>
      <c r="V357" s="453"/>
      <c r="W357" s="453"/>
      <c r="X357" s="453"/>
      <c r="Y357" s="453"/>
      <c r="Z357" s="453"/>
      <c r="AA357" s="453"/>
      <c r="AB357" s="453"/>
      <c r="AC357" s="453"/>
      <c r="AD357" s="453"/>
      <c r="AE357" s="453"/>
      <c r="AF357" s="453"/>
      <c r="AG357" s="453"/>
      <c r="AH357" s="453"/>
      <c r="AI357" s="453"/>
      <c r="AJ357" s="453"/>
      <c r="AK357" s="453"/>
    </row>
    <row r="358" spans="1:38">
      <c r="B358" s="2"/>
      <c r="D358" s="2" t="s">
        <v>207</v>
      </c>
      <c r="E358" s="2" t="s">
        <v>122</v>
      </c>
      <c r="I358" s="4"/>
      <c r="J358" s="4"/>
      <c r="K358" s="4"/>
      <c r="L358" s="4"/>
      <c r="M358" s="4"/>
      <c r="N358" s="4"/>
      <c r="O358" s="4"/>
      <c r="P358" s="4"/>
      <c r="Q358" s="4"/>
      <c r="R358" s="4"/>
      <c r="S358" s="4"/>
    </row>
    <row r="359" spans="1:38">
      <c r="B359" s="2"/>
      <c r="E359" t="s">
        <v>112</v>
      </c>
      <c r="F359" s="4" t="s">
        <v>743</v>
      </c>
      <c r="I359" s="4"/>
      <c r="J359" s="4"/>
      <c r="K359" s="4"/>
      <c r="L359" s="4"/>
      <c r="M359" s="4"/>
      <c r="N359" s="4"/>
      <c r="O359" s="4"/>
      <c r="P359" s="4"/>
      <c r="Q359" s="4"/>
      <c r="R359" s="4"/>
      <c r="S359" s="4"/>
    </row>
    <row r="360" spans="1:38">
      <c r="B360" s="2"/>
      <c r="F360" s="4" t="s">
        <v>744</v>
      </c>
      <c r="I360" s="4"/>
      <c r="J360" s="4"/>
      <c r="K360" s="4"/>
      <c r="L360" s="4"/>
      <c r="M360" s="4"/>
      <c r="N360" s="4"/>
      <c r="O360" s="4"/>
      <c r="P360" s="4"/>
      <c r="Q360" s="4"/>
      <c r="R360" s="4"/>
      <c r="S360" s="4"/>
    </row>
    <row r="361" spans="1:38">
      <c r="B361" s="2"/>
      <c r="F361" s="4" t="s">
        <v>872</v>
      </c>
      <c r="G361" s="4"/>
      <c r="K361" s="4"/>
      <c r="L361" s="4"/>
      <c r="M361" s="4"/>
      <c r="N361" s="4"/>
      <c r="O361" s="4"/>
      <c r="P361" s="4"/>
      <c r="Q361" s="4"/>
      <c r="R361" s="4"/>
      <c r="S361" s="4"/>
    </row>
    <row r="362" spans="1:38">
      <c r="B362" s="2"/>
      <c r="E362" t="s">
        <v>113</v>
      </c>
      <c r="F362" s="4" t="s">
        <v>871</v>
      </c>
      <c r="I362" s="4"/>
      <c r="J362" s="4"/>
      <c r="K362" s="4"/>
      <c r="L362" s="4"/>
      <c r="M362" s="4"/>
      <c r="N362" s="4"/>
      <c r="O362" s="4"/>
      <c r="P362" s="4"/>
      <c r="Q362" s="4"/>
      <c r="R362" s="4"/>
      <c r="S362" s="4"/>
    </row>
    <row r="363" spans="1:38">
      <c r="B363" s="2"/>
      <c r="E363" t="s">
        <v>119</v>
      </c>
      <c r="F363" s="4" t="s">
        <v>745</v>
      </c>
      <c r="I363" s="4"/>
      <c r="J363" s="4"/>
      <c r="K363" s="4"/>
      <c r="L363" s="4"/>
      <c r="M363" s="4"/>
      <c r="N363" s="4"/>
      <c r="O363" s="4"/>
      <c r="P363" s="4"/>
      <c r="Q363" s="4"/>
      <c r="R363" s="4"/>
      <c r="S363" s="4"/>
    </row>
    <row r="364" spans="1:38">
      <c r="B364" s="2"/>
      <c r="F364" s="4" t="s">
        <v>746</v>
      </c>
      <c r="J364" s="4"/>
      <c r="K364" s="4"/>
      <c r="L364" s="4"/>
      <c r="M364" s="4"/>
      <c r="N364" s="4"/>
      <c r="O364" s="4"/>
      <c r="P364" s="4"/>
      <c r="Q364" s="4"/>
      <c r="R364" s="4"/>
      <c r="S364" s="4"/>
    </row>
    <row r="365" spans="1:38">
      <c r="B365" s="2"/>
      <c r="E365" s="1803" t="s">
        <v>1226</v>
      </c>
      <c r="F365" s="1803"/>
      <c r="G365" s="1803"/>
      <c r="H365" s="1803"/>
      <c r="I365" s="1803"/>
      <c r="J365" s="1803"/>
      <c r="K365" s="1803"/>
      <c r="L365" s="1803"/>
      <c r="M365" s="1803"/>
      <c r="N365" s="1803"/>
      <c r="O365" s="1803"/>
      <c r="P365" s="1803"/>
      <c r="Q365" s="1803"/>
      <c r="R365" s="1803"/>
      <c r="S365" s="1803"/>
      <c r="T365" s="1803"/>
      <c r="U365" s="1803"/>
      <c r="V365" s="1803"/>
      <c r="W365" s="1803"/>
      <c r="X365" s="1803"/>
      <c r="Y365" s="1803"/>
      <c r="Z365" s="1803"/>
      <c r="AA365" s="1803"/>
      <c r="AB365" s="1803"/>
      <c r="AC365" s="1803"/>
      <c r="AD365" s="1803"/>
      <c r="AE365" s="1803"/>
      <c r="AF365" s="1803"/>
      <c r="AG365" s="1803"/>
      <c r="AH365" s="1803"/>
      <c r="AI365" s="1803"/>
      <c r="AJ365" s="1803"/>
      <c r="AK365" s="1803"/>
      <c r="AL365" s="1803"/>
    </row>
    <row r="366" spans="1:38">
      <c r="B366" s="2"/>
      <c r="E366" s="1803"/>
      <c r="F366" s="1803"/>
      <c r="G366" s="1803"/>
      <c r="H366" s="1803"/>
      <c r="I366" s="1803"/>
      <c r="J366" s="1803"/>
      <c r="K366" s="1803"/>
      <c r="L366" s="1803"/>
      <c r="M366" s="1803"/>
      <c r="N366" s="1803"/>
      <c r="O366" s="1803"/>
      <c r="P366" s="1803"/>
      <c r="Q366" s="1803"/>
      <c r="R366" s="1803"/>
      <c r="S366" s="1803"/>
      <c r="T366" s="1803"/>
      <c r="U366" s="1803"/>
      <c r="V366" s="1803"/>
      <c r="W366" s="1803"/>
      <c r="X366" s="1803"/>
      <c r="Y366" s="1803"/>
      <c r="Z366" s="1803"/>
      <c r="AA366" s="1803"/>
      <c r="AB366" s="1803"/>
      <c r="AC366" s="1803"/>
      <c r="AD366" s="1803"/>
      <c r="AE366" s="1803"/>
      <c r="AF366" s="1803"/>
      <c r="AG366" s="1803"/>
      <c r="AH366" s="1803"/>
      <c r="AI366" s="1803"/>
      <c r="AJ366" s="1803"/>
      <c r="AK366" s="1803"/>
      <c r="AL366" s="1803"/>
    </row>
    <row r="367" spans="1:38" s="1804" customFormat="1">
      <c r="A367"/>
      <c r="B367" s="2"/>
      <c r="C367"/>
      <c r="D367"/>
      <c r="E367" s="1502" t="s">
        <v>1258</v>
      </c>
    </row>
    <row r="368" spans="1:38" s="1804" customFormat="1">
      <c r="A368"/>
      <c r="B368" s="2"/>
      <c r="C368" s="2"/>
      <c r="D368"/>
    </row>
    <row r="369" spans="1:38">
      <c r="B369" s="2"/>
      <c r="E369" s="4"/>
      <c r="F369" s="455"/>
      <c r="G369" s="455"/>
      <c r="H369" s="455"/>
      <c r="I369" s="455"/>
      <c r="J369" s="455"/>
      <c r="K369" s="455"/>
      <c r="L369" s="455"/>
      <c r="M369" s="455"/>
      <c r="N369" s="455"/>
      <c r="O369" s="455"/>
      <c r="P369" s="455"/>
      <c r="Q369" s="455"/>
      <c r="R369" s="455"/>
      <c r="S369" s="455"/>
      <c r="T369" s="455"/>
      <c r="U369" s="455"/>
      <c r="V369" s="455"/>
      <c r="W369" s="455"/>
      <c r="X369" s="455"/>
      <c r="Y369" s="455"/>
      <c r="Z369" s="455"/>
      <c r="AA369" s="455"/>
      <c r="AB369" s="455"/>
      <c r="AC369" s="455"/>
      <c r="AD369" s="455"/>
      <c r="AE369" s="455"/>
      <c r="AF369" s="455"/>
      <c r="AG369" s="455"/>
      <c r="AH369" s="455"/>
      <c r="AI369" s="455"/>
      <c r="AJ369" s="455"/>
      <c r="AK369" s="455"/>
    </row>
    <row r="370" spans="1:38">
      <c r="B370" s="2"/>
      <c r="D370" s="2" t="s">
        <v>341</v>
      </c>
      <c r="E370" s="2" t="s">
        <v>568</v>
      </c>
      <c r="J370" s="4"/>
      <c r="K370" s="4"/>
      <c r="L370" s="4"/>
      <c r="M370" s="4"/>
      <c r="N370" s="4"/>
      <c r="O370" s="4"/>
      <c r="P370" s="4"/>
      <c r="Q370" s="4"/>
      <c r="R370" s="4"/>
      <c r="S370" s="4"/>
    </row>
    <row r="371" spans="1:38">
      <c r="B371" s="2"/>
      <c r="E371" s="4" t="s">
        <v>747</v>
      </c>
      <c r="F371" s="4"/>
      <c r="G371" s="4"/>
      <c r="H371" s="4"/>
      <c r="I371" s="4"/>
      <c r="J371" s="4"/>
      <c r="K371" s="4"/>
      <c r="L371" s="4"/>
      <c r="M371" s="4"/>
      <c r="N371" s="4"/>
      <c r="O371" s="4"/>
      <c r="P371" s="4"/>
      <c r="Q371" s="4"/>
      <c r="R371" s="4"/>
      <c r="S371" s="4"/>
    </row>
    <row r="372" spans="1:38">
      <c r="B372" s="2"/>
      <c r="E372" s="4" t="s">
        <v>748</v>
      </c>
      <c r="F372" s="4"/>
      <c r="G372" s="4"/>
      <c r="H372" s="4"/>
      <c r="I372" s="4"/>
      <c r="J372" s="4"/>
      <c r="K372" s="4"/>
      <c r="L372" s="4"/>
      <c r="M372" s="4"/>
      <c r="N372" s="4"/>
      <c r="O372" s="4"/>
      <c r="P372" s="4"/>
      <c r="Q372" s="4"/>
      <c r="R372" s="4"/>
      <c r="S372" s="4"/>
    </row>
    <row r="373" spans="1:38">
      <c r="B373" s="2"/>
      <c r="E373" s="4"/>
      <c r="F373" s="4"/>
      <c r="G373" s="4"/>
      <c r="H373" s="4"/>
      <c r="I373" s="4"/>
      <c r="J373" s="4"/>
      <c r="K373" s="4"/>
      <c r="L373" s="4"/>
      <c r="M373" s="4"/>
      <c r="N373" s="4"/>
      <c r="O373" s="4"/>
      <c r="P373" s="4"/>
      <c r="Q373" s="4"/>
      <c r="R373" s="4"/>
      <c r="S373" s="4"/>
    </row>
    <row r="374" spans="1:38">
      <c r="B374" s="2"/>
      <c r="D374" s="2" t="s">
        <v>574</v>
      </c>
      <c r="E374" s="2" t="s">
        <v>282</v>
      </c>
      <c r="J374" s="4"/>
      <c r="K374" s="4"/>
      <c r="L374" s="4"/>
      <c r="M374" s="4"/>
      <c r="N374" s="4"/>
      <c r="O374" s="4"/>
      <c r="P374" s="4"/>
      <c r="Q374" s="4"/>
      <c r="R374" s="4"/>
      <c r="S374" s="4"/>
    </row>
    <row r="375" spans="1:38">
      <c r="B375" s="2"/>
      <c r="E375" s="4" t="s">
        <v>112</v>
      </c>
      <c r="F375" s="4" t="s">
        <v>251</v>
      </c>
      <c r="G375" s="4"/>
      <c r="I375" s="4"/>
      <c r="J375" s="4"/>
      <c r="K375" s="4"/>
      <c r="L375" s="4"/>
      <c r="M375" s="4"/>
      <c r="N375" s="4"/>
      <c r="O375" s="4"/>
      <c r="P375" s="4"/>
      <c r="Q375" s="4"/>
      <c r="R375" s="4"/>
      <c r="S375" s="4"/>
    </row>
    <row r="376" spans="1:38">
      <c r="B376" s="2"/>
      <c r="E376" s="4"/>
      <c r="F376" s="120" t="s">
        <v>1153</v>
      </c>
      <c r="G376" s="4"/>
      <c r="I376" s="120"/>
      <c r="J376" s="4"/>
      <c r="K376" s="4"/>
      <c r="L376" s="4"/>
      <c r="M376" s="4"/>
      <c r="N376" s="4"/>
      <c r="O376" s="4"/>
      <c r="P376" s="4"/>
      <c r="Q376" s="4"/>
      <c r="R376" s="4"/>
      <c r="S376" s="4"/>
    </row>
    <row r="377" spans="1:38">
      <c r="B377" s="2"/>
      <c r="E377" s="4" t="s">
        <v>113</v>
      </c>
      <c r="F377" s="4" t="s">
        <v>252</v>
      </c>
      <c r="G377" s="4"/>
      <c r="I377" s="120"/>
      <c r="J377" s="4"/>
      <c r="K377" s="4"/>
      <c r="L377" s="4"/>
      <c r="M377" s="4"/>
      <c r="N377" s="4"/>
      <c r="O377" s="4"/>
      <c r="P377" s="4"/>
      <c r="Q377" s="4"/>
      <c r="R377" s="4"/>
      <c r="S377" s="4"/>
    </row>
    <row r="378" spans="1:38">
      <c r="B378" s="2"/>
      <c r="E378" s="4"/>
      <c r="F378" s="4"/>
      <c r="G378" s="4"/>
      <c r="I378" s="120"/>
      <c r="J378" s="4"/>
      <c r="K378" s="4"/>
      <c r="L378" s="4"/>
      <c r="M378" s="4"/>
      <c r="N378" s="4"/>
      <c r="O378" s="4"/>
      <c r="P378" s="4"/>
      <c r="Q378" s="4"/>
      <c r="R378" s="4"/>
      <c r="S378" s="4"/>
    </row>
    <row r="379" spans="1:38">
      <c r="B379" s="2"/>
      <c r="D379" s="2" t="s">
        <v>514</v>
      </c>
      <c r="E379" s="2" t="s">
        <v>1259</v>
      </c>
      <c r="J379" s="3"/>
      <c r="K379" s="3"/>
      <c r="L379" s="3"/>
      <c r="M379" s="3"/>
      <c r="N379" s="3"/>
      <c r="O379" s="3"/>
      <c r="P379" s="3"/>
      <c r="Q379" s="3"/>
      <c r="R379" s="3"/>
      <c r="S379" s="3"/>
    </row>
    <row r="380" spans="1:38">
      <c r="B380" s="2"/>
      <c r="D380" s="2"/>
      <c r="E380" s="3" t="s">
        <v>747</v>
      </c>
      <c r="F380" s="3"/>
      <c r="G380" s="3"/>
      <c r="J380" s="3"/>
      <c r="K380" s="3"/>
      <c r="L380" s="3"/>
      <c r="M380" s="3"/>
      <c r="N380" s="3"/>
      <c r="O380" s="3"/>
      <c r="P380" s="3"/>
      <c r="Q380" s="3"/>
      <c r="R380" s="3"/>
      <c r="S380" s="3"/>
    </row>
    <row r="381" spans="1:38">
      <c r="B381" s="2"/>
      <c r="D381" s="2"/>
      <c r="E381" s="3" t="s">
        <v>1156</v>
      </c>
      <c r="F381" s="3"/>
      <c r="G381" s="3"/>
      <c r="J381" s="3"/>
      <c r="K381" s="3"/>
      <c r="L381" s="3"/>
      <c r="M381" s="3"/>
      <c r="N381" s="3"/>
      <c r="O381" s="3"/>
      <c r="P381" s="3"/>
      <c r="Q381" s="3"/>
      <c r="R381" s="3"/>
      <c r="S381" s="3"/>
    </row>
    <row r="382" spans="1:38">
      <c r="B382" s="2"/>
      <c r="D382" s="2"/>
      <c r="E382" s="3"/>
      <c r="F382" s="3"/>
      <c r="G382" s="3"/>
      <c r="J382" s="3"/>
      <c r="K382" s="3"/>
      <c r="L382" s="3"/>
      <c r="M382" s="3"/>
      <c r="N382" s="3"/>
      <c r="O382" s="3"/>
      <c r="P382" s="3"/>
      <c r="Q382" s="3"/>
      <c r="R382" s="3"/>
      <c r="S382" s="3"/>
    </row>
    <row r="383" spans="1:38" s="169" customFormat="1">
      <c r="A383"/>
      <c r="B383" s="2"/>
      <c r="C383"/>
      <c r="D383" s="2" t="s">
        <v>303</v>
      </c>
      <c r="E383" s="2" t="s">
        <v>284</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c r="A384"/>
      <c r="B384" s="2"/>
      <c r="C384"/>
      <c r="D384"/>
      <c r="E384" s="3" t="s">
        <v>112</v>
      </c>
      <c r="F384" s="3" t="s">
        <v>1260</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c r="A385"/>
      <c r="B385" s="2"/>
      <c r="C385"/>
      <c r="D385"/>
      <c r="E385" s="3"/>
      <c r="F385" s="120" t="s">
        <v>1153</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c r="B386" s="2"/>
      <c r="E386" s="3" t="s">
        <v>113</v>
      </c>
      <c r="F386" s="1480" t="s">
        <v>1269</v>
      </c>
      <c r="G386" s="1480"/>
      <c r="H386" s="1480"/>
      <c r="I386" s="1480"/>
      <c r="J386" s="1480"/>
      <c r="K386" s="1480"/>
      <c r="L386" s="1480"/>
      <c r="M386" s="1480"/>
      <c r="N386" s="1480"/>
      <c r="O386" s="1480"/>
      <c r="P386" s="1480"/>
      <c r="Q386" s="1480"/>
      <c r="R386" s="1480"/>
      <c r="S386" s="1480"/>
      <c r="T386" s="1480"/>
      <c r="U386" s="1480"/>
      <c r="V386" s="1480"/>
      <c r="W386" s="1480"/>
      <c r="X386" s="1480"/>
      <c r="Y386" s="1480"/>
      <c r="Z386" s="1480"/>
      <c r="AA386" s="1480"/>
      <c r="AB386" s="1480"/>
      <c r="AC386" s="1480"/>
      <c r="AD386" s="1480"/>
      <c r="AE386" s="1480"/>
      <c r="AF386" s="1480"/>
      <c r="AG386" s="1480"/>
      <c r="AH386" s="1480"/>
      <c r="AI386" s="1480"/>
      <c r="AJ386" s="1480"/>
      <c r="AK386" s="1480"/>
    </row>
    <row r="387" spans="1:38">
      <c r="B387" s="2"/>
      <c r="E387" s="3"/>
      <c r="F387" s="1480"/>
      <c r="G387" s="1480"/>
      <c r="H387" s="1480"/>
      <c r="I387" s="1480"/>
      <c r="J387" s="1480"/>
      <c r="K387" s="1480"/>
      <c r="L387" s="1480"/>
      <c r="M387" s="1480"/>
      <c r="N387" s="1480"/>
      <c r="O387" s="1480"/>
      <c r="P387" s="1480"/>
      <c r="Q387" s="1480"/>
      <c r="R387" s="1480"/>
      <c r="S387" s="1480"/>
      <c r="T387" s="1480"/>
      <c r="U387" s="1480"/>
      <c r="V387" s="1480"/>
      <c r="W387" s="1480"/>
      <c r="X387" s="1480"/>
      <c r="Y387" s="1480"/>
      <c r="Z387" s="1480"/>
      <c r="AA387" s="1480"/>
      <c r="AB387" s="1480"/>
      <c r="AC387" s="1480"/>
      <c r="AD387" s="1480"/>
      <c r="AE387" s="1480"/>
      <c r="AF387" s="1480"/>
      <c r="AG387" s="1480"/>
      <c r="AH387" s="1480"/>
      <c r="AI387" s="1480"/>
      <c r="AJ387" s="1480"/>
      <c r="AK387" s="1480"/>
    </row>
    <row r="388" spans="1:38">
      <c r="B388" s="2"/>
      <c r="E388" s="3"/>
      <c r="F388" s="1480"/>
      <c r="G388" s="1480"/>
      <c r="H388" s="1480"/>
      <c r="I388" s="1480"/>
      <c r="J388" s="1480"/>
      <c r="K388" s="1480"/>
      <c r="L388" s="1480"/>
      <c r="M388" s="1480"/>
      <c r="N388" s="1480"/>
      <c r="O388" s="1480"/>
      <c r="P388" s="1480"/>
      <c r="Q388" s="1480"/>
      <c r="R388" s="1480"/>
      <c r="S388" s="1480"/>
      <c r="T388" s="1480"/>
      <c r="U388" s="1480"/>
      <c r="V388" s="1480"/>
      <c r="W388" s="1480"/>
      <c r="X388" s="1480"/>
      <c r="Y388" s="1480"/>
      <c r="Z388" s="1480"/>
      <c r="AA388" s="1480"/>
      <c r="AB388" s="1480"/>
      <c r="AC388" s="1480"/>
      <c r="AD388" s="1480"/>
      <c r="AE388" s="1480"/>
      <c r="AF388" s="1480"/>
      <c r="AG388" s="1480"/>
      <c r="AH388" s="1480"/>
      <c r="AI388" s="1480"/>
      <c r="AJ388" s="1480"/>
      <c r="AK388" s="1480"/>
    </row>
    <row r="389" spans="1:38">
      <c r="B389" s="2"/>
      <c r="E389" s="4"/>
      <c r="F389" s="441"/>
      <c r="G389" s="441"/>
      <c r="H389" s="441"/>
      <c r="I389" s="441"/>
      <c r="J389" s="441"/>
      <c r="K389" s="441"/>
      <c r="L389" s="441"/>
      <c r="M389" s="441"/>
      <c r="N389" s="441"/>
      <c r="O389" s="441"/>
      <c r="P389" s="441"/>
      <c r="Q389" s="441"/>
      <c r="R389" s="441"/>
      <c r="S389" s="441"/>
      <c r="T389" s="441"/>
      <c r="U389" s="441"/>
      <c r="V389" s="441"/>
      <c r="W389" s="441"/>
      <c r="X389" s="441"/>
      <c r="Y389" s="441"/>
      <c r="Z389" s="441"/>
      <c r="AA389" s="441"/>
      <c r="AB389" s="441"/>
      <c r="AC389" s="441"/>
      <c r="AD389" s="441"/>
      <c r="AE389" s="441"/>
      <c r="AF389" s="441"/>
      <c r="AG389" s="441"/>
      <c r="AH389" s="441"/>
      <c r="AI389" s="441"/>
      <c r="AJ389" s="441"/>
      <c r="AK389" s="441"/>
      <c r="AL389" s="453"/>
    </row>
    <row r="390" spans="1:38">
      <c r="B390" s="2"/>
      <c r="C390" s="2"/>
      <c r="D390" s="2" t="s">
        <v>429</v>
      </c>
      <c r="E390" s="2" t="s">
        <v>1275</v>
      </c>
      <c r="F390" s="3"/>
      <c r="G390" s="2"/>
      <c r="I390" s="120"/>
      <c r="J390" s="3"/>
      <c r="K390" s="3"/>
      <c r="L390" s="3"/>
      <c r="M390" s="3"/>
      <c r="N390" s="3"/>
      <c r="O390" s="3"/>
      <c r="P390" s="3"/>
      <c r="Q390" s="3"/>
      <c r="R390" s="3"/>
      <c r="S390" s="3"/>
    </row>
    <row r="391" spans="1:38" ht="13.15" customHeight="1">
      <c r="B391" s="2"/>
      <c r="D391" s="2"/>
      <c r="E391" s="3" t="s">
        <v>1274</v>
      </c>
      <c r="F391" s="455"/>
      <c r="G391" s="455"/>
      <c r="H391" s="455"/>
      <c r="I391" s="455"/>
      <c r="J391" s="455"/>
      <c r="K391" s="455"/>
      <c r="L391" s="455"/>
      <c r="M391" s="455"/>
      <c r="N391" s="455"/>
      <c r="O391" s="455"/>
      <c r="P391" s="455"/>
      <c r="Q391" s="455"/>
      <c r="R391" s="455"/>
      <c r="S391" s="455"/>
      <c r="T391" s="455"/>
      <c r="U391" s="455"/>
      <c r="V391" s="455"/>
      <c r="W391" s="455"/>
      <c r="X391" s="455"/>
      <c r="Y391" s="455"/>
      <c r="Z391" s="455"/>
      <c r="AA391" s="455"/>
      <c r="AB391" s="455"/>
      <c r="AC391" s="455"/>
      <c r="AD391" s="455"/>
      <c r="AE391" s="455"/>
      <c r="AF391" s="455"/>
      <c r="AG391" s="455"/>
      <c r="AH391" s="455"/>
      <c r="AI391" s="455"/>
      <c r="AJ391" s="455"/>
      <c r="AK391" s="455"/>
    </row>
    <row r="392" spans="1:38">
      <c r="B392" s="2"/>
      <c r="E392" t="s">
        <v>1156</v>
      </c>
      <c r="F392" s="452"/>
      <c r="G392" s="452"/>
      <c r="H392" s="452"/>
      <c r="I392" s="452"/>
      <c r="J392" s="452"/>
      <c r="K392" s="452"/>
      <c r="L392" s="452"/>
      <c r="M392" s="452"/>
      <c r="N392" s="452"/>
      <c r="O392" s="452"/>
      <c r="P392" s="452"/>
      <c r="Q392" s="452"/>
      <c r="R392" s="452"/>
      <c r="S392" s="452"/>
      <c r="T392" s="452"/>
      <c r="U392" s="452"/>
      <c r="V392" s="452"/>
      <c r="W392" s="452"/>
      <c r="X392" s="452"/>
      <c r="Y392" s="452"/>
      <c r="Z392" s="452"/>
      <c r="AA392" s="452"/>
      <c r="AB392" s="452"/>
      <c r="AC392" s="452"/>
      <c r="AD392" s="452"/>
      <c r="AE392" s="452"/>
      <c r="AF392" s="452"/>
      <c r="AG392" s="452"/>
      <c r="AH392" s="452"/>
      <c r="AI392" s="452"/>
      <c r="AJ392" s="452"/>
      <c r="AK392" s="452"/>
      <c r="AL392" s="452"/>
    </row>
    <row r="393" spans="1:38" s="169" customFormat="1">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idden="1">
      <c r="B395" s="2"/>
      <c r="S395" s="4"/>
    </row>
    <row r="396" spans="1:38" hidden="1">
      <c r="B396" s="2"/>
      <c r="S396" s="4"/>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D406" s="2"/>
      <c r="E406" s="4"/>
      <c r="F406" s="4"/>
      <c r="G406" s="4"/>
      <c r="H406" s="4"/>
      <c r="I406" s="4"/>
      <c r="J406" s="4"/>
      <c r="K406" s="4"/>
      <c r="L406" s="4"/>
      <c r="M406" s="4"/>
      <c r="N406" s="4"/>
      <c r="O406" s="4"/>
      <c r="P406" s="4"/>
      <c r="Q406" s="4"/>
      <c r="R406" s="4"/>
      <c r="S406" s="4"/>
    </row>
    <row r="407" spans="2:19"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idden="1">
      <c r="B419" s="2"/>
      <c r="D419" s="2"/>
      <c r="E419" s="4"/>
      <c r="F419" s="4"/>
      <c r="G419" s="4"/>
      <c r="H419" s="4"/>
      <c r="I419" s="4"/>
      <c r="J419" s="4"/>
      <c r="K419" s="4"/>
      <c r="L419" s="4"/>
      <c r="M419" s="4"/>
      <c r="N419" s="4"/>
      <c r="O419" s="4"/>
      <c r="P419" s="4"/>
      <c r="Q419" s="4"/>
      <c r="R419" s="4"/>
      <c r="S419" s="4"/>
    </row>
    <row r="420" spans="2:19" hidden="1">
      <c r="B420" s="2"/>
      <c r="C420" s="2"/>
      <c r="D420" s="2"/>
      <c r="E420" s="4"/>
      <c r="F420" s="4"/>
      <c r="G420" s="4"/>
      <c r="H420" s="4"/>
      <c r="I420" s="4"/>
      <c r="J420" s="4"/>
      <c r="K420" s="4"/>
      <c r="L420" s="4"/>
      <c r="M420" s="4"/>
      <c r="N420" s="4"/>
      <c r="O420" s="4"/>
      <c r="P420" s="4"/>
      <c r="Q420" s="4"/>
      <c r="R420" s="4"/>
      <c r="S420" s="4"/>
    </row>
    <row r="421" spans="2:19" hidden="1">
      <c r="D421" s="2"/>
    </row>
    <row r="422" spans="2:19"/>
    <row r="423" spans="2:19"/>
    <row r="424" spans="2:19"/>
    <row r="425" spans="2:19"/>
    <row r="426" spans="2:19"/>
  </sheetData>
  <sheetProtection algorithmName="SHA-512" hashValue="N+4DDhxDR5GlfrfDg+WQ0r7BZfwrHvEs4jg3Y6hWNGNG4NVTTZcT/ppROTxp3udo7tQ03VFh4jqW9m6jKmG+Uw==" saltValue="KurwxsTw2aYGCrMqkctaIw=="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3:AK34"/>
    <mergeCell ref="F48:AK50"/>
    <mergeCell ref="D15:AK17"/>
    <mergeCell ref="J18:AK18"/>
    <mergeCell ref="F386:AK388"/>
    <mergeCell ref="E341:AK345"/>
    <mergeCell ref="F350:AK352"/>
    <mergeCell ref="E365:AL366"/>
    <mergeCell ref="E367:XFD368"/>
    <mergeCell ref="F346:AK349"/>
    <mergeCell ref="G80:AK82"/>
    <mergeCell ref="E35:AK35"/>
    <mergeCell ref="E36:AK36"/>
    <mergeCell ref="G64:AK66"/>
    <mergeCell ref="G70:AK71"/>
    <mergeCell ref="G54:AK54"/>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s>
  <phoneticPr fontId="0" type="noConversion"/>
  <hyperlinks>
    <hyperlink ref="E36" r:id="rId2" xr:uid="{00000000-0004-0000-0000-000000000000}"/>
    <hyperlink ref="E31" r:id="rId3" xr:uid="{00000000-0004-0000-0000-000001000000}"/>
    <hyperlink ref="E35" r:id="rId4"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66"/>
  <sheetViews>
    <sheetView showGridLines="0" topLeftCell="A123" workbookViewId="0">
      <selection activeCell="H96" sqref="H95:H96"/>
    </sheetView>
  </sheetViews>
  <sheetFormatPr defaultColWidth="9.140625" defaultRowHeight="14.25"/>
  <cols>
    <col min="1" max="1" width="2.42578125" style="1039" customWidth="1"/>
    <col min="2" max="9" width="14.7109375" style="1039" customWidth="1"/>
    <col min="10" max="10" width="2.28515625" style="1039" customWidth="1"/>
    <col min="11" max="11" width="11.85546875" style="1040" customWidth="1"/>
    <col min="12" max="12" width="10.7109375" style="1039" customWidth="1"/>
    <col min="13" max="13" width="10.42578125" style="1039" customWidth="1"/>
    <col min="14" max="14" width="10.85546875" style="1039" customWidth="1"/>
    <col min="15" max="18" width="9.140625" style="1039"/>
    <col min="19" max="19" width="9.42578125" style="1039" bestFit="1" customWidth="1"/>
    <col min="20" max="16384" width="9.140625" style="1039"/>
  </cols>
  <sheetData>
    <row r="1" spans="1:13" ht="30" customHeight="1">
      <c r="A1" s="2658" t="s">
        <v>1574</v>
      </c>
      <c r="B1" s="2658"/>
      <c r="C1" s="2658"/>
      <c r="D1" s="2658"/>
      <c r="E1" s="2658"/>
      <c r="F1" s="2658"/>
      <c r="G1" s="2658"/>
      <c r="H1" s="2658"/>
      <c r="I1" s="2658"/>
      <c r="J1" s="2658"/>
    </row>
    <row r="2" spans="1:13" ht="15" customHeight="1" thickBot="1">
      <c r="A2" s="1041"/>
      <c r="B2" s="1041"/>
      <c r="I2" s="1042"/>
      <c r="K2" s="1043"/>
    </row>
    <row r="3" spans="1:13" s="1046" customFormat="1" ht="20.100000000000001" customHeight="1">
      <c r="A3" s="1094"/>
      <c r="B3" s="1095"/>
      <c r="C3" s="1096"/>
      <c r="D3" s="1101"/>
      <c r="E3" s="1096"/>
      <c r="F3" s="1097" t="s">
        <v>1962</v>
      </c>
      <c r="G3" s="1096"/>
      <c r="H3" s="1098">
        <f>E18</f>
        <v>7985504</v>
      </c>
      <c r="I3" s="1099"/>
    </row>
    <row r="4" spans="1:13" s="1046" customFormat="1" ht="20.100000000000001" customHeight="1">
      <c r="B4" s="1088"/>
      <c r="D4" s="1102"/>
      <c r="F4" s="1087" t="s">
        <v>1964</v>
      </c>
      <c r="G4" s="1086" t="s">
        <v>1963</v>
      </c>
      <c r="H4" s="1201">
        <f>I18</f>
        <v>17972793.405000001</v>
      </c>
      <c r="I4" s="1089"/>
      <c r="K4" s="1050"/>
    </row>
    <row r="5" spans="1:13" s="1046" customFormat="1" ht="20.100000000000001" customHeight="1" thickBot="1">
      <c r="B5" s="1090"/>
      <c r="C5" s="1091"/>
      <c r="D5" s="1103"/>
      <c r="E5" s="1092"/>
      <c r="F5" s="1103" t="s">
        <v>1914</v>
      </c>
      <c r="G5" s="1104"/>
      <c r="H5" s="1100">
        <f>IFERROR(H3/H4,0)</f>
        <v>0.44431067670195584</v>
      </c>
      <c r="I5" s="1093"/>
      <c r="K5" s="1050"/>
    </row>
    <row r="6" spans="1:13" s="1046" customFormat="1" ht="15" customHeight="1">
      <c r="B6" s="1047"/>
      <c r="C6" s="1048"/>
      <c r="F6" s="1049"/>
      <c r="K6" s="1050"/>
    </row>
    <row r="7" spans="1:13" s="1046" customFormat="1" ht="15" customHeight="1">
      <c r="E7" s="1051"/>
      <c r="F7" s="1049"/>
      <c r="K7" s="1052"/>
    </row>
    <row r="8" spans="1:13" s="1046" customFormat="1" ht="15" customHeight="1">
      <c r="A8" s="1053"/>
      <c r="B8" s="2661" t="s">
        <v>1912</v>
      </c>
      <c r="C8" s="2662"/>
      <c r="D8" s="2662"/>
      <c r="E8" s="2663"/>
      <c r="G8" s="2642" t="s">
        <v>1913</v>
      </c>
      <c r="H8" s="2643"/>
      <c r="I8" s="2644"/>
      <c r="K8" s="1052"/>
    </row>
    <row r="9" spans="1:13" ht="15" customHeight="1">
      <c r="A9" s="1041"/>
      <c r="B9" s="2659" t="s">
        <v>1946</v>
      </c>
      <c r="C9" s="2659"/>
      <c r="D9" s="2659"/>
      <c r="E9" s="1054">
        <f>G33</f>
        <v>2482500</v>
      </c>
      <c r="G9" s="2655" t="s">
        <v>1944</v>
      </c>
      <c r="H9" s="2655"/>
      <c r="I9" s="1055">
        <f>MAX(SUMIF(Application!M562:M573,"Loan, Tax-Exempt",Application!AM562:AM573),27.5%*SUM('Sources and Uses Budget'!C8,'Sources and Uses Budget'!S105,'Sources and Uses Budget'!T105))</f>
        <v>9740606</v>
      </c>
      <c r="K9" s="1056"/>
      <c r="M9" s="1057"/>
    </row>
    <row r="10" spans="1:13" ht="15" customHeight="1" thickBot="1">
      <c r="A10" s="1041"/>
      <c r="B10" s="2659" t="s">
        <v>1947</v>
      </c>
      <c r="C10" s="2659"/>
      <c r="D10" s="2659"/>
      <c r="E10" s="1055">
        <f>G47</f>
        <v>4370004</v>
      </c>
      <c r="G10" s="2657" t="s">
        <v>1915</v>
      </c>
      <c r="H10" s="2657"/>
      <c r="I10" s="1134">
        <f>IF(OR(Application!Z205="State Farmworker Credit",Application!Z205="$500M (Farmworker Housing)"),0,'Basis &amp; Credits'!AB78)</f>
        <v>9278223</v>
      </c>
      <c r="M10" s="1057"/>
    </row>
    <row r="11" spans="1:13" ht="15" customHeight="1">
      <c r="A11" s="1041"/>
      <c r="B11" s="2665" t="s">
        <v>2209</v>
      </c>
      <c r="C11" s="2666"/>
      <c r="D11" s="2667"/>
      <c r="E11" s="1055">
        <f>SUM(E13,E12)</f>
        <v>140000</v>
      </c>
      <c r="G11" s="2664" t="s">
        <v>1955</v>
      </c>
      <c r="H11" s="2664"/>
      <c r="I11" s="1133">
        <f>I9+I10</f>
        <v>19018829</v>
      </c>
      <c r="M11" s="1057"/>
    </row>
    <row r="12" spans="1:13" ht="15" customHeight="1">
      <c r="A12" s="1058"/>
      <c r="B12" s="2660" t="s">
        <v>2568</v>
      </c>
      <c r="C12" s="2660"/>
      <c r="D12" s="2660"/>
      <c r="E12" s="1158">
        <f>G56</f>
        <v>140000</v>
      </c>
      <c r="M12" s="1057"/>
    </row>
    <row r="13" spans="1:13" ht="15" customHeight="1">
      <c r="A13" s="1044"/>
      <c r="B13" s="2660" t="s">
        <v>2569</v>
      </c>
      <c r="C13" s="2660"/>
      <c r="D13" s="2660"/>
      <c r="E13" s="1158">
        <f>IF(G67,MAX(G65,G79),G65)</f>
        <v>0</v>
      </c>
      <c r="G13" s="2642" t="s">
        <v>1978</v>
      </c>
      <c r="H13" s="2643"/>
      <c r="I13" s="2644"/>
    </row>
    <row r="14" spans="1:13" ht="15" customHeight="1">
      <c r="A14" s="1044"/>
      <c r="B14" s="2665" t="s">
        <v>2210</v>
      </c>
      <c r="C14" s="2666"/>
      <c r="D14" s="2667"/>
      <c r="E14" s="1160">
        <f>MAX(E15,E16)+E17</f>
        <v>993000</v>
      </c>
      <c r="G14" s="2655" t="s">
        <v>2585</v>
      </c>
      <c r="H14" s="2655"/>
      <c r="I14" s="1059">
        <f>IF(AND(G134="Yes",G136&lt;&gt;""),IF(OR(G141="Yes",G145="Yes"),18%,15%),0)</f>
        <v>0</v>
      </c>
      <c r="M14" s="1057"/>
    </row>
    <row r="15" spans="1:13" ht="15" customHeight="1">
      <c r="A15" s="1044"/>
      <c r="B15" s="2639" t="s">
        <v>2582</v>
      </c>
      <c r="C15" s="2640"/>
      <c r="D15" s="2641"/>
      <c r="E15" s="1158">
        <f>G94</f>
        <v>0</v>
      </c>
      <c r="G15" s="1131" t="s">
        <v>1956</v>
      </c>
      <c r="H15" s="1131"/>
      <c r="I15" s="1059">
        <f>IF(Application!AJ1041&gt;0,10%,IF(Application!AJ1045&gt;0,5%,0))</f>
        <v>0</v>
      </c>
      <c r="M15" s="1057"/>
    </row>
    <row r="16" spans="1:13" ht="15" customHeight="1">
      <c r="A16" s="1044"/>
      <c r="B16" s="2639" t="s">
        <v>2583</v>
      </c>
      <c r="C16" s="2640"/>
      <c r="D16" s="2641"/>
      <c r="E16" s="1158">
        <f>G104</f>
        <v>0</v>
      </c>
      <c r="G16" s="2655" t="s">
        <v>1957</v>
      </c>
      <c r="H16" s="2655"/>
      <c r="I16" s="1059">
        <f>G155</f>
        <v>5.5E-2</v>
      </c>
    </row>
    <row r="17" spans="1:21" ht="15" customHeight="1" thickBot="1">
      <c r="A17" s="1044"/>
      <c r="B17" s="2639" t="s">
        <v>2584</v>
      </c>
      <c r="C17" s="2640"/>
      <c r="D17" s="2641"/>
      <c r="E17" s="1158">
        <f>G129</f>
        <v>993000</v>
      </c>
      <c r="G17" s="2655" t="s">
        <v>2218</v>
      </c>
      <c r="H17" s="2655"/>
      <c r="I17" s="1059">
        <f>IF(AND(G161="Yes",G159),IF(G165&gt;15%,15%,G165),0)</f>
        <v>0</v>
      </c>
    </row>
    <row r="18" spans="1:21" ht="15" customHeight="1">
      <c r="A18" s="1041"/>
      <c r="B18" s="2656" t="s">
        <v>1911</v>
      </c>
      <c r="C18" s="2656"/>
      <c r="D18" s="2656"/>
      <c r="E18" s="1105">
        <f>SUM(E9:E11,E14)</f>
        <v>7985504</v>
      </c>
      <c r="G18" s="1132" t="s">
        <v>1945</v>
      </c>
      <c r="H18" s="1132"/>
      <c r="I18" s="1106">
        <f>I11-((I11*I14)+(I11*I15)+(I11*I16)+(I11*I17))</f>
        <v>17972793.405000001</v>
      </c>
      <c r="M18" s="1060">
        <f>SUM(Cdlac[Quantity])</f>
        <v>48</v>
      </c>
      <c r="O18" s="1079" t="s">
        <v>582</v>
      </c>
      <c r="P18" s="1039">
        <f>MATCH(Application!T189,Application!CB160:CB217,0)</f>
        <v>7</v>
      </c>
      <c r="T18" s="1060">
        <f>SUM(Cdlac[Population])</f>
        <v>0</v>
      </c>
    </row>
    <row r="19" spans="1:21" ht="15" customHeight="1">
      <c r="A19" s="1041"/>
      <c r="B19" s="1041"/>
      <c r="C19" s="1041"/>
      <c r="D19" s="1041"/>
      <c r="E19" s="1041"/>
      <c r="L19" s="1039" t="s">
        <v>1907</v>
      </c>
      <c r="M19" s="1039" t="s">
        <v>1906</v>
      </c>
      <c r="N19" s="1039" t="s">
        <v>1918</v>
      </c>
      <c r="O19" s="1039" t="s">
        <v>1919</v>
      </c>
      <c r="P19" s="1039" t="s">
        <v>1908</v>
      </c>
      <c r="Q19" s="1039" t="s">
        <v>2207</v>
      </c>
      <c r="R19" s="1039" t="s">
        <v>1909</v>
      </c>
      <c r="S19" s="1039" t="s">
        <v>1920</v>
      </c>
      <c r="T19" s="1039" t="s">
        <v>1926</v>
      </c>
      <c r="U19" s="1039" t="s">
        <v>385</v>
      </c>
    </row>
    <row r="20" spans="1:21" ht="15" customHeight="1">
      <c r="B20" s="1061" t="str">
        <f>B9</f>
        <v>A. Unit Production Benefit</v>
      </c>
      <c r="C20" s="1062"/>
      <c r="D20" s="1062"/>
      <c r="E20" s="1062"/>
      <c r="F20" s="1062"/>
      <c r="G20" s="1062"/>
      <c r="H20" s="1062"/>
      <c r="I20" s="1063"/>
      <c r="L20" s="1039">
        <f>IFERROR(MIN(4,MATCH(Application!B726,UnitSizes,0)-1),"")</f>
        <v>0</v>
      </c>
      <c r="M20" s="1060">
        <f>Application!G726</f>
        <v>1</v>
      </c>
      <c r="N20" s="1066">
        <f>Application!AC726</f>
        <v>0.3</v>
      </c>
      <c r="O20" s="1066">
        <f>IF(Cdlac[[#This Row],[Quantity]]&gt;0,IF(Cdlac[[#This Row],[Federal]],30%,IF(AND(OR(NOT($G$38),$G$38=""),$G$43),40%,Cdlac[[#This Row],[iAMI]])),"")</f>
        <v>0.3</v>
      </c>
      <c r="P20" s="1060" cm="1">
        <f t="array" ref="P20">IF(Cdlac[[#This Row],[Quantity]]&gt;0,INDEX(TcacRents,$P$18,Cdlac[[#This Row],[Bedrooms]]+1)*Cdlac[[#This Row],[AMI]],"")</f>
        <v>838.8</v>
      </c>
      <c r="Q20" s="1157"/>
      <c r="R20" s="1060" cm="1">
        <f t="array" ref="R20">IF(Cdlac[[#This Row],[Quantity]]&gt;0,INDEX(HudFmrs,$P$18,Cdlac[[#This Row],[Bedrooms]]+1),"")</f>
        <v>1937</v>
      </c>
      <c r="S20" s="1060">
        <f>IF(Cdlac[[#This Row],[Quantity]]&gt;0,MAX(0,Cdlac[[#This Row],[Fair Market Rent]]-IF(AND($G$37,$G$38,$G$38&lt;&gt;"",NOT(Cdlac[[#This Row],[Federal]]),Cdlac[[#This Row],[Preservation Rent]]&lt;&gt;""),Cdlac[[#This Row],[Preservation Rent]],Cdlac[[#This Row],[Restricted Rent]])),"")</f>
        <v>1098.2</v>
      </c>
      <c r="T20" s="1039">
        <f>IF(Cdlac[[#This Row],[Quantity]]&gt;0,AND(Application!AK726&lt;&gt;"N/A",Application!AK726&lt;&gt;"")*Cdlac[[#This Row],[Quantity]],"")</f>
        <v>0</v>
      </c>
      <c r="U20" s="1039" t="b">
        <f>AND('Subsidy Contract Calculation'!F4&gt;0,OR('Subsidy Contract Calculation'!C4="Federal",'Subsidy Contract Calculation'!C4="Local - Approved by ED"),Cdlac[[#This Row],[Quantity]]&gt;0)</f>
        <v>0</v>
      </c>
    </row>
    <row r="21" spans="1:21" ht="15" customHeight="1">
      <c r="A21" s="1041"/>
      <c r="B21" s="1041"/>
      <c r="I21" s="1064"/>
      <c r="L21" s="1039">
        <f>IFERROR(MIN(4,MATCH(Application!B727,UnitSizes,0)-1),"")</f>
        <v>1</v>
      </c>
      <c r="M21" s="1060">
        <f>Application!G727</f>
        <v>5</v>
      </c>
      <c r="N21" s="1066">
        <f>Application!AC727</f>
        <v>0.3</v>
      </c>
      <c r="O21" s="1066">
        <f>IF(Cdlac[[#This Row],[Quantity]]&gt;0,IF(Cdlac[[#This Row],[Federal]],30%,IF(AND(OR(NOT($G$38),$G$38=""),$G$43),40%,Cdlac[[#This Row],[iAMI]])),"")</f>
        <v>0.3</v>
      </c>
      <c r="P21" s="1060" cm="1">
        <f t="array" ref="P21">IF(Cdlac[[#This Row],[Quantity]]&gt;0,INDEX(TcacRents,$P$18,Cdlac[[#This Row],[Bedrooms]]+1)*Cdlac[[#This Row],[AMI]],"")</f>
        <v>898.8</v>
      </c>
      <c r="Q21" s="1157"/>
      <c r="R21" s="1060" cm="1">
        <f t="array" ref="R21">IF(Cdlac[[#This Row],[Quantity]]&gt;0,INDEX(HudFmrs,$P$18,Cdlac[[#This Row],[Bedrooms]]+1),"")</f>
        <v>2201</v>
      </c>
      <c r="S21" s="1060">
        <f>IF(Cdlac[[#This Row],[Quantity]]&gt;0,MAX(0,Cdlac[[#This Row],[Fair Market Rent]]-IF(AND($G$37,$G$38,$G$38&lt;&gt;"",NOT(Cdlac[[#This Row],[Federal]]),Cdlac[[#This Row],[Preservation Rent]]&lt;&gt;""),Cdlac[[#This Row],[Preservation Rent]],Cdlac[[#This Row],[Restricted Rent]])),"")</f>
        <v>1302.2</v>
      </c>
      <c r="T21" s="1039">
        <f>IF(Cdlac[[#This Row],[Quantity]]&gt;0,AND(Application!AK727&lt;&gt;"N/A",Application!AK727&lt;&gt;"")*Cdlac[[#This Row],[Quantity]],"")</f>
        <v>0</v>
      </c>
      <c r="U21" s="1039" t="b">
        <f>AND('Subsidy Contract Calculation'!F5&gt;0,OR('Subsidy Contract Calculation'!C5="Federal",'Subsidy Contract Calculation'!C5="Local - Approved by ED"),Cdlac[[#This Row],[Quantity]]&gt;0)</f>
        <v>0</v>
      </c>
    </row>
    <row r="22" spans="1:21" ht="15" customHeight="1">
      <c r="A22" s="1044"/>
      <c r="C22" s="2646" t="s">
        <v>1959</v>
      </c>
      <c r="D22" s="2646" t="s">
        <v>1960</v>
      </c>
      <c r="E22" s="2646" t="s">
        <v>1961</v>
      </c>
      <c r="F22" s="2646" t="s">
        <v>2533</v>
      </c>
      <c r="G22" s="2646" t="s">
        <v>1958</v>
      </c>
      <c r="H22" s="1065"/>
      <c r="I22" s="1064"/>
      <c r="L22" s="1039">
        <f>IFERROR(MIN(4,MATCH(Application!B728,UnitSizes,0)-1),"")</f>
        <v>1</v>
      </c>
      <c r="M22" s="1060">
        <f>Application!G728</f>
        <v>4</v>
      </c>
      <c r="N22" s="1066">
        <f>Application!AC728</f>
        <v>0.4</v>
      </c>
      <c r="O22" s="1066">
        <f>IF(Cdlac[[#This Row],[Quantity]]&gt;0,IF(Cdlac[[#This Row],[Federal]],30%,IF(AND(OR(NOT($G$38),$G$38=""),$G$43),40%,Cdlac[[#This Row],[iAMI]])),"")</f>
        <v>0.4</v>
      </c>
      <c r="P22" s="1060" cm="1">
        <f t="array" ref="P22">IF(Cdlac[[#This Row],[Quantity]]&gt;0,INDEX(TcacRents,$P$18,Cdlac[[#This Row],[Bedrooms]]+1)*Cdlac[[#This Row],[AMI]],"")</f>
        <v>1198.4000000000001</v>
      </c>
      <c r="Q22" s="1157"/>
      <c r="R22" s="1060" cm="1">
        <f t="array" ref="R22">IF(Cdlac[[#This Row],[Quantity]]&gt;0,INDEX(HudFmrs,$P$18,Cdlac[[#This Row],[Bedrooms]]+1),"")</f>
        <v>2201</v>
      </c>
      <c r="S22" s="1060">
        <f>IF(Cdlac[[#This Row],[Quantity]]&gt;0,MAX(0,Cdlac[[#This Row],[Fair Market Rent]]-IF(AND($G$37,$G$38,$G$38&lt;&gt;"",NOT(Cdlac[[#This Row],[Federal]]),Cdlac[[#This Row],[Preservation Rent]]&lt;&gt;""),Cdlac[[#This Row],[Preservation Rent]],Cdlac[[#This Row],[Restricted Rent]])),"")</f>
        <v>1002.5999999999999</v>
      </c>
      <c r="T22" s="1039">
        <f>IF(Cdlac[[#This Row],[Quantity]]&gt;0,AND(Application!AK728&lt;&gt;"N/A",Application!AK728&lt;&gt;"")*Cdlac[[#This Row],[Quantity]],"")</f>
        <v>0</v>
      </c>
      <c r="U22" s="1039" t="b">
        <f>AND('Subsidy Contract Calculation'!F6&gt;0,OR('Subsidy Contract Calculation'!C6="Federal",'Subsidy Contract Calculation'!C6="Local - Approved by ED"),Cdlac[[#This Row],[Quantity]]&gt;0)</f>
        <v>0</v>
      </c>
    </row>
    <row r="23" spans="1:21" ht="15" customHeight="1">
      <c r="A23" s="1044"/>
      <c r="C23" s="2647"/>
      <c r="D23" s="2647"/>
      <c r="E23" s="2647"/>
      <c r="F23" s="2647"/>
      <c r="G23" s="2647"/>
      <c r="H23" s="1065"/>
      <c r="I23" s="1064"/>
      <c r="L23" s="1039">
        <f>IFERROR(MIN(4,MATCH(Application!B729,UnitSizes,0)-1),"")</f>
        <v>1</v>
      </c>
      <c r="M23" s="1060">
        <f>Application!G729</f>
        <v>5</v>
      </c>
      <c r="N23" s="1066">
        <f>Application!AC729</f>
        <v>0.5</v>
      </c>
      <c r="O23" s="1066">
        <f>IF(Cdlac[[#This Row],[Quantity]]&gt;0,IF(Cdlac[[#This Row],[Federal]],30%,IF(AND(OR(NOT($G$38),$G$38=""),$G$43),40%,Cdlac[[#This Row],[iAMI]])),"")</f>
        <v>0.5</v>
      </c>
      <c r="P23" s="1060" cm="1">
        <f t="array" ref="P23">IF(Cdlac[[#This Row],[Quantity]]&gt;0,INDEX(TcacRents,$P$18,Cdlac[[#This Row],[Bedrooms]]+1)*Cdlac[[#This Row],[AMI]],"")</f>
        <v>1498</v>
      </c>
      <c r="Q23" s="1157"/>
      <c r="R23" s="1060" cm="1">
        <f t="array" ref="R23">IF(Cdlac[[#This Row],[Quantity]]&gt;0,INDEX(HudFmrs,$P$18,Cdlac[[#This Row],[Bedrooms]]+1),"")</f>
        <v>2201</v>
      </c>
      <c r="S23" s="1060">
        <f>IF(Cdlac[[#This Row],[Quantity]]&gt;0,MAX(0,Cdlac[[#This Row],[Fair Market Rent]]-IF(AND($G$37,$G$38,$G$38&lt;&gt;"",NOT(Cdlac[[#This Row],[Federal]]),Cdlac[[#This Row],[Preservation Rent]]&lt;&gt;""),Cdlac[[#This Row],[Preservation Rent]],Cdlac[[#This Row],[Restricted Rent]])),"")</f>
        <v>703</v>
      </c>
      <c r="T23" s="1039">
        <f>IF(Cdlac[[#This Row],[Quantity]]&gt;0,AND(Application!AK729&lt;&gt;"N/A",Application!AK729&lt;&gt;"")*Cdlac[[#This Row],[Quantity]],"")</f>
        <v>0</v>
      </c>
      <c r="U23" s="1039" t="b">
        <f>AND('Subsidy Contract Calculation'!F7&gt;0,OR('Subsidy Contract Calculation'!C7="Federal",'Subsidy Contract Calculation'!C7="Local - Approved by ED"),Cdlac[[#This Row],[Quantity]]&gt;0)</f>
        <v>0</v>
      </c>
    </row>
    <row r="24" spans="1:21" ht="15" customHeight="1">
      <c r="C24" s="1067">
        <v>0</v>
      </c>
      <c r="D24" s="1068">
        <v>0.9</v>
      </c>
      <c r="E24" s="1067">
        <f>SUMIFS(Cdlac[Quantity],Cdlac[Bedrooms],C24)</f>
        <v>1</v>
      </c>
      <c r="F24" s="1067">
        <f>E24</f>
        <v>1</v>
      </c>
      <c r="G24" s="1067">
        <f>D24*F24</f>
        <v>0.9</v>
      </c>
      <c r="L24" s="1039">
        <f>IFERROR(MIN(4,MATCH(Application!B730,UnitSizes,0)-1),"")</f>
        <v>1</v>
      </c>
      <c r="M24" s="1060">
        <f>Application!G730</f>
        <v>10</v>
      </c>
      <c r="N24" s="1066">
        <f>Application!AC730</f>
        <v>0.6</v>
      </c>
      <c r="O24" s="1066">
        <f>IF(Cdlac[[#This Row],[Quantity]]&gt;0,IF(Cdlac[[#This Row],[Federal]],30%,IF(AND(OR(NOT($G$38),$G$38=""),$G$43),40%,Cdlac[[#This Row],[iAMI]])),"")</f>
        <v>0.6</v>
      </c>
      <c r="P24" s="1060" cm="1">
        <f t="array" ref="P24">IF(Cdlac[[#This Row],[Quantity]]&gt;0,INDEX(TcacRents,$P$18,Cdlac[[#This Row],[Bedrooms]]+1)*Cdlac[[#This Row],[AMI]],"")</f>
        <v>1797.6</v>
      </c>
      <c r="Q24" s="1157"/>
      <c r="R24" s="1060" cm="1">
        <f t="array" ref="R24">IF(Cdlac[[#This Row],[Quantity]]&gt;0,INDEX(HudFmrs,$P$18,Cdlac[[#This Row],[Bedrooms]]+1),"")</f>
        <v>2201</v>
      </c>
      <c r="S24" s="1060">
        <f>IF(Cdlac[[#This Row],[Quantity]]&gt;0,MAX(0,Cdlac[[#This Row],[Fair Market Rent]]-IF(AND($G$37,$G$38,$G$38&lt;&gt;"",NOT(Cdlac[[#This Row],[Federal]]),Cdlac[[#This Row],[Preservation Rent]]&lt;&gt;""),Cdlac[[#This Row],[Preservation Rent]],Cdlac[[#This Row],[Restricted Rent]])),"")</f>
        <v>403.40000000000009</v>
      </c>
      <c r="T24" s="1039">
        <f>IF(Cdlac[[#This Row],[Quantity]]&gt;0,AND(Application!AK730&lt;&gt;"N/A",Application!AK730&lt;&gt;"")*Cdlac[[#This Row],[Quantity]],"")</f>
        <v>0</v>
      </c>
      <c r="U24" s="1039" t="b">
        <f>AND('Subsidy Contract Calculation'!F8&gt;0,OR('Subsidy Contract Calculation'!C8="Federal",'Subsidy Contract Calculation'!C8="Local - Approved by ED"),Cdlac[[#This Row],[Quantity]]&gt;0)</f>
        <v>0</v>
      </c>
    </row>
    <row r="25" spans="1:21" ht="15" customHeight="1">
      <c r="C25" s="1067">
        <v>1</v>
      </c>
      <c r="D25" s="1068">
        <v>1</v>
      </c>
      <c r="E25" s="1067">
        <f>SUMIFS(Cdlac[Quantity],Cdlac[Bedrooms],C25)</f>
        <v>40</v>
      </c>
      <c r="F25" s="1067">
        <f>E25</f>
        <v>40</v>
      </c>
      <c r="G25" s="1067">
        <f>D25*F25</f>
        <v>40</v>
      </c>
      <c r="L25" s="1039">
        <f>IFERROR(MIN(4,MATCH(Application!B731,UnitSizes,0)-1),"")</f>
        <v>1</v>
      </c>
      <c r="M25" s="1060">
        <f>Application!G731</f>
        <v>16</v>
      </c>
      <c r="N25" s="1066">
        <f>Application!AC731</f>
        <v>0.8</v>
      </c>
      <c r="O25" s="1066">
        <f>IF(Cdlac[[#This Row],[Quantity]]&gt;0,IF(Cdlac[[#This Row],[Federal]],30%,IF(AND(OR(NOT($G$38),$G$38=""),$G$43),40%,Cdlac[[#This Row],[iAMI]])),"")</f>
        <v>0.8</v>
      </c>
      <c r="P25" s="1060" cm="1">
        <f t="array" ref="P25">IF(Cdlac[[#This Row],[Quantity]]&gt;0,INDEX(TcacRents,$P$18,Cdlac[[#This Row],[Bedrooms]]+1)*Cdlac[[#This Row],[AMI]],"")</f>
        <v>2396.8000000000002</v>
      </c>
      <c r="Q25" s="1157"/>
      <c r="R25" s="1060" cm="1">
        <f t="array" ref="R25">IF(Cdlac[[#This Row],[Quantity]]&gt;0,INDEX(HudFmrs,$P$18,Cdlac[[#This Row],[Bedrooms]]+1),"")</f>
        <v>2201</v>
      </c>
      <c r="S25" s="1060">
        <f>IF(Cdlac[[#This Row],[Quantity]]&gt;0,MAX(0,Cdlac[[#This Row],[Fair Market Rent]]-IF(AND($G$37,$G$38,$G$38&lt;&gt;"",NOT(Cdlac[[#This Row],[Federal]]),Cdlac[[#This Row],[Preservation Rent]]&lt;&gt;""),Cdlac[[#This Row],[Preservation Rent]],Cdlac[[#This Row],[Restricted Rent]])),"")</f>
        <v>0</v>
      </c>
      <c r="T25" s="1039">
        <f>IF(Cdlac[[#This Row],[Quantity]]&gt;0,AND(Application!AK731&lt;&gt;"N/A",Application!AK731&lt;&gt;"")*Cdlac[[#This Row],[Quantity]],"")</f>
        <v>0</v>
      </c>
      <c r="U25" s="1039" t="b">
        <f>AND('Subsidy Contract Calculation'!F9&gt;0,OR('Subsidy Contract Calculation'!C9="Federal",'Subsidy Contract Calculation'!C9="Local - Approved by ED"),Cdlac[[#This Row],[Quantity]]&gt;0)</f>
        <v>0</v>
      </c>
    </row>
    <row r="26" spans="1:21" ht="15" customHeight="1">
      <c r="A26" s="1069"/>
      <c r="C26" s="1070">
        <v>2</v>
      </c>
      <c r="D26" s="1068">
        <v>1.25</v>
      </c>
      <c r="E26" s="1067">
        <f>SUMIFS(Cdlac[Quantity],Cdlac[Bedrooms],C26)</f>
        <v>7</v>
      </c>
      <c r="F26" s="1070">
        <f>SUM(E26:E28)-SUM(F27:F28)</f>
        <v>7</v>
      </c>
      <c r="G26" s="1067">
        <f>D26*F26</f>
        <v>8.75</v>
      </c>
      <c r="H26" s="1069"/>
      <c r="I26" s="1069"/>
      <c r="L26" s="1039">
        <f>IFERROR(MIN(4,MATCH(Application!B732,UnitSizes,0)-1),"")</f>
        <v>2</v>
      </c>
      <c r="M26" s="1060">
        <f>Application!G732</f>
        <v>1</v>
      </c>
      <c r="N26" s="1066">
        <f>Application!AC732</f>
        <v>0.3</v>
      </c>
      <c r="O26" s="1066">
        <f>IF(Cdlac[[#This Row],[Quantity]]&gt;0,IF(Cdlac[[#This Row],[Federal]],30%,IF(AND(OR(NOT($G$38),$G$38=""),$G$43),40%,Cdlac[[#This Row],[iAMI]])),"")</f>
        <v>0.3</v>
      </c>
      <c r="P26" s="1060" cm="1">
        <f t="array" ref="P26">IF(Cdlac[[#This Row],[Quantity]]&gt;0,INDEX(TcacRents,$P$18,Cdlac[[#This Row],[Bedrooms]]+1)*Cdlac[[#This Row],[AMI]],"")</f>
        <v>1078.8</v>
      </c>
      <c r="Q26" s="1157"/>
      <c r="R26" s="1060" cm="1">
        <f t="array" ref="R26">IF(Cdlac[[#This Row],[Quantity]]&gt;0,INDEX(HudFmrs,$P$18,Cdlac[[#This Row],[Bedrooms]]+1),"")</f>
        <v>2682</v>
      </c>
      <c r="S26" s="1060">
        <f>IF(Cdlac[[#This Row],[Quantity]]&gt;0,MAX(0,Cdlac[[#This Row],[Fair Market Rent]]-IF(AND($G$37,$G$38,$G$38&lt;&gt;"",NOT(Cdlac[[#This Row],[Federal]]),Cdlac[[#This Row],[Preservation Rent]]&lt;&gt;""),Cdlac[[#This Row],[Preservation Rent]],Cdlac[[#This Row],[Restricted Rent]])),"")</f>
        <v>1603.2</v>
      </c>
      <c r="T26" s="1039">
        <f>IF(Cdlac[[#This Row],[Quantity]]&gt;0,AND(Application!AK732&lt;&gt;"N/A",Application!AK732&lt;&gt;"")*Cdlac[[#This Row],[Quantity]],"")</f>
        <v>0</v>
      </c>
      <c r="U26" s="1039" t="b">
        <f>AND('Subsidy Contract Calculation'!F10&gt;0,OR('Subsidy Contract Calculation'!C10="Federal",'Subsidy Contract Calculation'!C10="Local - Approved by ED"),Cdlac[[#This Row],[Quantity]]&gt;0)</f>
        <v>0</v>
      </c>
    </row>
    <row r="27" spans="1:21" ht="15" customHeight="1">
      <c r="A27" s="1069"/>
      <c r="C27" s="1070">
        <v>3</v>
      </c>
      <c r="D27" s="1068">
        <f>1.5+0.25*0</f>
        <v>1.5</v>
      </c>
      <c r="E27" s="1067">
        <f>SUMIFS(Cdlac[Quantity],Cdlac[Bedrooms],C27)</f>
        <v>0</v>
      </c>
      <c r="F27" s="1070">
        <f>MIN(E27,ROUNDDOWN(E29*30%,0))</f>
        <v>0</v>
      </c>
      <c r="G27" s="1067">
        <f>D27*F27</f>
        <v>0</v>
      </c>
      <c r="H27" s="1069"/>
      <c r="I27" s="1069"/>
      <c r="L27" s="1039">
        <f>IFERROR(MIN(4,MATCH(Application!B733,UnitSizes,0)-1),"")</f>
        <v>2</v>
      </c>
      <c r="M27" s="1060">
        <f>Application!G733</f>
        <v>1</v>
      </c>
      <c r="N27" s="1066">
        <f>Application!AC733</f>
        <v>0.5</v>
      </c>
      <c r="O27" s="1066">
        <f>IF(Cdlac[[#This Row],[Quantity]]&gt;0,IF(Cdlac[[#This Row],[Federal]],30%,IF(AND(OR(NOT($G$38),$G$38=""),$G$43),40%,Cdlac[[#This Row],[iAMI]])),"")</f>
        <v>0.5</v>
      </c>
      <c r="P27" s="1060" cm="1">
        <f t="array" ref="P27">IF(Cdlac[[#This Row],[Quantity]]&gt;0,INDEX(TcacRents,$P$18,Cdlac[[#This Row],[Bedrooms]]+1)*Cdlac[[#This Row],[AMI]],"")</f>
        <v>1798</v>
      </c>
      <c r="Q27" s="1157"/>
      <c r="R27" s="1060" cm="1">
        <f t="array" ref="R27">IF(Cdlac[[#This Row],[Quantity]]&gt;0,INDEX(HudFmrs,$P$18,Cdlac[[#This Row],[Bedrooms]]+1),"")</f>
        <v>2682</v>
      </c>
      <c r="S27" s="1060">
        <f>IF(Cdlac[[#This Row],[Quantity]]&gt;0,MAX(0,Cdlac[[#This Row],[Fair Market Rent]]-IF(AND($G$37,$G$38,$G$38&lt;&gt;"",NOT(Cdlac[[#This Row],[Federal]]),Cdlac[[#This Row],[Preservation Rent]]&lt;&gt;""),Cdlac[[#This Row],[Preservation Rent]],Cdlac[[#This Row],[Restricted Rent]])),"")</f>
        <v>884</v>
      </c>
      <c r="T27" s="1039">
        <f>IF(Cdlac[[#This Row],[Quantity]]&gt;0,AND(Application!AK733&lt;&gt;"N/A",Application!AK733&lt;&gt;"")*Cdlac[[#This Row],[Quantity]],"")</f>
        <v>0</v>
      </c>
      <c r="U27" s="1039" t="b">
        <f>AND('Subsidy Contract Calculation'!F11&gt;0,OR('Subsidy Contract Calculation'!C11="Federal",'Subsidy Contract Calculation'!C11="Local - Approved by ED"),Cdlac[[#This Row],[Quantity]]&gt;0)</f>
        <v>0</v>
      </c>
    </row>
    <row r="28" spans="1:21" ht="15" customHeight="1" thickBot="1">
      <c r="A28" s="1069"/>
      <c r="C28" s="1081">
        <v>4</v>
      </c>
      <c r="D28" s="1082">
        <f>1.75+0.25*0</f>
        <v>1.75</v>
      </c>
      <c r="E28" s="1083">
        <f>SUMIFS(Cdlac[Quantity],Cdlac[Bedrooms],C28)</f>
        <v>0</v>
      </c>
      <c r="F28" s="1081">
        <f>MIN(E28,ROUNDDOWN(E29*10%,0))</f>
        <v>0</v>
      </c>
      <c r="G28" s="1083">
        <f>D28*F28</f>
        <v>0</v>
      </c>
      <c r="H28" s="1069"/>
      <c r="I28" s="1069"/>
      <c r="L28" s="1039">
        <f>IFERROR(MIN(4,MATCH(Application!B734,UnitSizes,0)-1),"")</f>
        <v>2</v>
      </c>
      <c r="M28" s="1060">
        <f>Application!G734</f>
        <v>5</v>
      </c>
      <c r="N28" s="1066">
        <f>Application!AC734</f>
        <v>0.6</v>
      </c>
      <c r="O28" s="1066">
        <f>IF(Cdlac[[#This Row],[Quantity]]&gt;0,IF(Cdlac[[#This Row],[Federal]],30%,IF(AND(OR(NOT($G$38),$G$38=""),$G$43),40%,Cdlac[[#This Row],[iAMI]])),"")</f>
        <v>0.6</v>
      </c>
      <c r="P28" s="1060" cm="1">
        <f t="array" ref="P28">IF(Cdlac[[#This Row],[Quantity]]&gt;0,INDEX(TcacRents,$P$18,Cdlac[[#This Row],[Bedrooms]]+1)*Cdlac[[#This Row],[AMI]],"")</f>
        <v>2157.6</v>
      </c>
      <c r="Q28" s="1157"/>
      <c r="R28" s="1060" cm="1">
        <f t="array" ref="R28">IF(Cdlac[[#This Row],[Quantity]]&gt;0,INDEX(HudFmrs,$P$18,Cdlac[[#This Row],[Bedrooms]]+1),"")</f>
        <v>2682</v>
      </c>
      <c r="S28" s="1060">
        <f>IF(Cdlac[[#This Row],[Quantity]]&gt;0,MAX(0,Cdlac[[#This Row],[Fair Market Rent]]-IF(AND($G$37,$G$38,$G$38&lt;&gt;"",NOT(Cdlac[[#This Row],[Federal]]),Cdlac[[#This Row],[Preservation Rent]]&lt;&gt;""),Cdlac[[#This Row],[Preservation Rent]],Cdlac[[#This Row],[Restricted Rent]])),"")</f>
        <v>524.40000000000009</v>
      </c>
      <c r="T28" s="1039">
        <f>IF(Cdlac[[#This Row],[Quantity]]&gt;0,AND(Application!AK734&lt;&gt;"N/A",Application!AK734&lt;&gt;"")*Cdlac[[#This Row],[Quantity]],"")</f>
        <v>0</v>
      </c>
      <c r="U28" s="1039" t="b">
        <f>AND('Subsidy Contract Calculation'!F12&gt;0,OR('Subsidy Contract Calculation'!C12="Federal",'Subsidy Contract Calculation'!C12="Local - Approved by ED"),Cdlac[[#This Row],[Quantity]]&gt;0)</f>
        <v>0</v>
      </c>
    </row>
    <row r="29" spans="1:21" ht="15" customHeight="1">
      <c r="A29" s="1069"/>
      <c r="C29" s="2648" t="s">
        <v>1575</v>
      </c>
      <c r="D29" s="2649"/>
      <c r="E29" s="1084">
        <f>SUM(E24:E28)</f>
        <v>48</v>
      </c>
      <c r="F29" s="1084">
        <f>SUM(F24:F28)</f>
        <v>48</v>
      </c>
      <c r="G29" s="1085">
        <f>SUMPRODUCT(D24:D28,F24:F28)</f>
        <v>49.65</v>
      </c>
      <c r="H29" s="1069"/>
      <c r="I29" s="1069"/>
      <c r="L29" s="1039" t="str">
        <f>IFERROR(MIN(4,MATCH(Application!B735,UnitSizes,0)-1),"")</f>
        <v/>
      </c>
      <c r="M29" s="1060">
        <f>Application!G735</f>
        <v>0</v>
      </c>
      <c r="N29" s="1066">
        <f>Application!AC735</f>
        <v>0</v>
      </c>
      <c r="O29" s="1066" t="str">
        <f>IF(Cdlac[[#This Row],[Quantity]]&gt;0,IF(Cdlac[[#This Row],[Federal]],30%,IF(AND(OR(NOT($G$38),$G$38=""),$G$43),40%,Cdlac[[#This Row],[iAMI]])),"")</f>
        <v/>
      </c>
      <c r="P29" s="1060" t="str" cm="1">
        <f t="array" ref="P29">IF(Cdlac[[#This Row],[Quantity]]&gt;0,INDEX(TcacRents,$P$18,Cdlac[[#This Row],[Bedrooms]]+1)*Cdlac[[#This Row],[AMI]],"")</f>
        <v/>
      </c>
      <c r="Q29" s="1157"/>
      <c r="R29" s="1060" t="str" cm="1">
        <f t="array" ref="R29">IF(Cdlac[[#This Row],[Quantity]]&gt;0,INDEX(HudFmrs,$P$18,Cdlac[[#This Row],[Bedrooms]]+1),"")</f>
        <v/>
      </c>
      <c r="S29" s="1060" t="str">
        <f>IF(Cdlac[[#This Row],[Quantity]]&gt;0,MAX(0,Cdlac[[#This Row],[Fair Market Rent]]-IF(AND($G$37,$G$38,$G$38&lt;&gt;"",NOT(Cdlac[[#This Row],[Federal]]),Cdlac[[#This Row],[Preservation Rent]]&lt;&gt;""),Cdlac[[#This Row],[Preservation Rent]],Cdlac[[#This Row],[Restricted Rent]])),"")</f>
        <v/>
      </c>
      <c r="T29" s="1039" t="str">
        <f>IF(Cdlac[[#This Row],[Quantity]]&gt;0,AND(Application!AK735&lt;&gt;"N/A",Application!AK735&lt;&gt;"")*Cdlac[[#This Row],[Quantity]],"")</f>
        <v/>
      </c>
      <c r="U29" s="1039" t="b">
        <f>AND('Subsidy Contract Calculation'!F13&gt;0,OR('Subsidy Contract Calculation'!C13="Federal",'Subsidy Contract Calculation'!C13="Local - Approved by ED"),Cdlac[[#This Row],[Quantity]]&gt;0)</f>
        <v>0</v>
      </c>
    </row>
    <row r="30" spans="1:21" ht="15" customHeight="1">
      <c r="A30" s="1069"/>
      <c r="C30" s="1069"/>
      <c r="D30" s="1069"/>
      <c r="E30" s="1069"/>
      <c r="F30" s="1069"/>
      <c r="G30" s="1069"/>
      <c r="H30" s="1069"/>
      <c r="I30" s="1069"/>
      <c r="L30" s="1039" t="str">
        <f>IFERROR(MIN(4,MATCH(Application!B736,UnitSizes,0)-1),"")</f>
        <v/>
      </c>
      <c r="M30" s="1060">
        <f>Application!G736</f>
        <v>0</v>
      </c>
      <c r="N30" s="1066">
        <f>Application!AC736</f>
        <v>0</v>
      </c>
      <c r="O30" s="1066" t="str">
        <f>IF(Cdlac[[#This Row],[Quantity]]&gt;0,IF(Cdlac[[#This Row],[Federal]],30%,IF(AND(OR(NOT($G$38),$G$38=""),$G$43),40%,Cdlac[[#This Row],[iAMI]])),"")</f>
        <v/>
      </c>
      <c r="P30" s="1060" t="str" cm="1">
        <f t="array" ref="P30">IF(Cdlac[[#This Row],[Quantity]]&gt;0,INDEX(TcacRents,$P$18,Cdlac[[#This Row],[Bedrooms]]+1)*Cdlac[[#This Row],[AMI]],"")</f>
        <v/>
      </c>
      <c r="Q30" s="1157"/>
      <c r="R30" s="1060" t="str" cm="1">
        <f t="array" ref="R30">IF(Cdlac[[#This Row],[Quantity]]&gt;0,INDEX(HudFmrs,$P$18,Cdlac[[#This Row],[Bedrooms]]+1),"")</f>
        <v/>
      </c>
      <c r="S30" s="1060" t="str">
        <f>IF(Cdlac[[#This Row],[Quantity]]&gt;0,MAX(0,Cdlac[[#This Row],[Fair Market Rent]]-IF(AND($G$37,$G$38,$G$38&lt;&gt;"",NOT(Cdlac[[#This Row],[Federal]]),Cdlac[[#This Row],[Preservation Rent]]&lt;&gt;""),Cdlac[[#This Row],[Preservation Rent]],Cdlac[[#This Row],[Restricted Rent]])),"")</f>
        <v/>
      </c>
      <c r="T30" s="1039" t="str">
        <f>IF(Cdlac[[#This Row],[Quantity]]&gt;0,AND(Application!AK736&lt;&gt;"N/A",Application!AK736&lt;&gt;"")*Cdlac[[#This Row],[Quantity]],"")</f>
        <v/>
      </c>
      <c r="U30" s="1039" t="b">
        <f>AND('Subsidy Contract Calculation'!F14&gt;0,OR('Subsidy Contract Calculation'!C14="Federal",'Subsidy Contract Calculation'!C14="Local - Approved by ED"),Cdlac[[#This Row],[Quantity]]&gt;0)</f>
        <v>0</v>
      </c>
    </row>
    <row r="31" spans="1:21" ht="15" customHeight="1">
      <c r="A31" s="1069"/>
      <c r="E31" s="1111" t="s">
        <v>1958</v>
      </c>
      <c r="G31" s="1108">
        <f>G29</f>
        <v>49.65</v>
      </c>
      <c r="H31" s="1069"/>
      <c r="I31" s="1069"/>
      <c r="L31" s="1039" t="str">
        <f>IFERROR(MIN(4,MATCH(Application!B737,UnitSizes,0)-1),"")</f>
        <v/>
      </c>
      <c r="M31" s="1060">
        <f>Application!G737</f>
        <v>0</v>
      </c>
      <c r="N31" s="1066">
        <f>Application!AC737</f>
        <v>0</v>
      </c>
      <c r="O31" s="1066" t="str">
        <f>IF(Cdlac[[#This Row],[Quantity]]&gt;0,IF(Cdlac[[#This Row],[Federal]],30%,IF(AND(OR(NOT($G$38),$G$38=""),$G$43),40%,Cdlac[[#This Row],[iAMI]])),"")</f>
        <v/>
      </c>
      <c r="P31" s="1060" t="str" cm="1">
        <f t="array" ref="P31">IF(Cdlac[[#This Row],[Quantity]]&gt;0,INDEX(TcacRents,$P$18,Cdlac[[#This Row],[Bedrooms]]+1)*Cdlac[[#This Row],[AMI]],"")</f>
        <v/>
      </c>
      <c r="Q31" s="1157"/>
      <c r="R31" s="1060" t="str" cm="1">
        <f t="array" ref="R31">IF(Cdlac[[#This Row],[Quantity]]&gt;0,INDEX(HudFmrs,$P$18,Cdlac[[#This Row],[Bedrooms]]+1),"")</f>
        <v/>
      </c>
      <c r="S31" s="1060" t="str">
        <f>IF(Cdlac[[#This Row],[Quantity]]&gt;0,MAX(0,Cdlac[[#This Row],[Fair Market Rent]]-IF(AND($G$37,$G$38,$G$38&lt;&gt;"",NOT(Cdlac[[#This Row],[Federal]]),Cdlac[[#This Row],[Preservation Rent]]&lt;&gt;""),Cdlac[[#This Row],[Preservation Rent]],Cdlac[[#This Row],[Restricted Rent]])),"")</f>
        <v/>
      </c>
      <c r="T31" s="1039" t="str">
        <f>IF(Cdlac[[#This Row],[Quantity]]&gt;0,AND(Application!AK737&lt;&gt;"N/A",Application!AK737&lt;&gt;"")*Cdlac[[#This Row],[Quantity]],"")</f>
        <v/>
      </c>
      <c r="U31" s="1039" t="b">
        <f>AND('Subsidy Contract Calculation'!F15&gt;0,OR('Subsidy Contract Calculation'!C15="Federal",'Subsidy Contract Calculation'!C15="Local - Approved by ED"),Cdlac[[#This Row],[Quantity]]&gt;0)</f>
        <v>0</v>
      </c>
    </row>
    <row r="32" spans="1:21" ht="15" customHeight="1">
      <c r="A32" s="1069"/>
      <c r="E32" s="1111" t="s">
        <v>1917</v>
      </c>
      <c r="F32" s="1107" t="s">
        <v>1965</v>
      </c>
      <c r="G32" s="1109">
        <v>50000</v>
      </c>
      <c r="H32" s="1069"/>
      <c r="I32" s="1069"/>
      <c r="L32" s="1039" t="str">
        <f>IFERROR(MIN(4,MATCH(Application!B738,UnitSizes,0)-1),"")</f>
        <v/>
      </c>
      <c r="M32" s="1060">
        <f>Application!G738</f>
        <v>0</v>
      </c>
      <c r="N32" s="1066">
        <f>Application!AC738</f>
        <v>0</v>
      </c>
      <c r="O32" s="1066" t="str">
        <f>IF(Cdlac[[#This Row],[Quantity]]&gt;0,IF(Cdlac[[#This Row],[Federal]],30%,IF(AND(OR(NOT($G$38),$G$38=""),$G$43),40%,Cdlac[[#This Row],[iAMI]])),"")</f>
        <v/>
      </c>
      <c r="P32" s="1060" t="str" cm="1">
        <f t="array" ref="P32">IF(Cdlac[[#This Row],[Quantity]]&gt;0,INDEX(TcacRents,$P$18,Cdlac[[#This Row],[Bedrooms]]+1)*Cdlac[[#This Row],[AMI]],"")</f>
        <v/>
      </c>
      <c r="Q32" s="1157"/>
      <c r="R32" s="1060" t="str" cm="1">
        <f t="array" ref="R32">IF(Cdlac[[#This Row],[Quantity]]&gt;0,INDEX(HudFmrs,$P$18,Cdlac[[#This Row],[Bedrooms]]+1),"")</f>
        <v/>
      </c>
      <c r="S32" s="1060" t="str">
        <f>IF(Cdlac[[#This Row],[Quantity]]&gt;0,MAX(0,Cdlac[[#This Row],[Fair Market Rent]]-IF(AND($G$37,$G$38,$G$38&lt;&gt;"",NOT(Cdlac[[#This Row],[Federal]]),Cdlac[[#This Row],[Preservation Rent]]&lt;&gt;""),Cdlac[[#This Row],[Preservation Rent]],Cdlac[[#This Row],[Restricted Rent]])),"")</f>
        <v/>
      </c>
      <c r="T32" s="1039" t="str">
        <f>IF(Cdlac[[#This Row],[Quantity]]&gt;0,AND(Application!AK738&lt;&gt;"N/A",Application!AK738&lt;&gt;"")*Cdlac[[#This Row],[Quantity]],"")</f>
        <v/>
      </c>
      <c r="U32" s="1039" t="b">
        <f>AND('Subsidy Contract Calculation'!F16&gt;0,OR('Subsidy Contract Calculation'!C16="Federal",'Subsidy Contract Calculation'!C16="Local - Approved by ED"),Cdlac[[#This Row],[Quantity]]&gt;0)</f>
        <v>0</v>
      </c>
    </row>
    <row r="33" spans="1:21" ht="15" customHeight="1">
      <c r="A33" s="1069"/>
      <c r="E33" s="1112" t="s">
        <v>1951</v>
      </c>
      <c r="F33" s="1041"/>
      <c r="G33" s="1113">
        <f>G32*G31</f>
        <v>2482500</v>
      </c>
      <c r="H33" s="1069"/>
      <c r="I33" s="1069"/>
      <c r="L33" s="1039" t="str">
        <f>IFERROR(MIN(4,MATCH(Application!B739,UnitSizes,0)-1),"")</f>
        <v/>
      </c>
      <c r="M33" s="1060">
        <f>Application!G739</f>
        <v>0</v>
      </c>
      <c r="N33" s="1066">
        <f>Application!AC739</f>
        <v>0</v>
      </c>
      <c r="O33" s="1066" t="str">
        <f>IF(Cdlac[[#This Row],[Quantity]]&gt;0,IF(Cdlac[[#This Row],[Federal]],30%,IF(AND(OR(NOT($G$38),$G$38=""),$G$43),40%,Cdlac[[#This Row],[iAMI]])),"")</f>
        <v/>
      </c>
      <c r="P33" s="1060" t="str" cm="1">
        <f t="array" ref="P33">IF(Cdlac[[#This Row],[Quantity]]&gt;0,INDEX(TcacRents,$P$18,Cdlac[[#This Row],[Bedrooms]]+1)*Cdlac[[#This Row],[AMI]],"")</f>
        <v/>
      </c>
      <c r="Q33" s="1157"/>
      <c r="R33" s="1060" t="str" cm="1">
        <f t="array" ref="R33">IF(Cdlac[[#This Row],[Quantity]]&gt;0,INDEX(HudFmrs,$P$18,Cdlac[[#This Row],[Bedrooms]]+1),"")</f>
        <v/>
      </c>
      <c r="S33" s="1060" t="str">
        <f>IF(Cdlac[[#This Row],[Quantity]]&gt;0,MAX(0,Cdlac[[#This Row],[Fair Market Rent]]-IF(AND($G$37,$G$38,$G$38&lt;&gt;"",NOT(Cdlac[[#This Row],[Federal]]),Cdlac[[#This Row],[Preservation Rent]]&lt;&gt;""),Cdlac[[#This Row],[Preservation Rent]],Cdlac[[#This Row],[Restricted Rent]])),"")</f>
        <v/>
      </c>
      <c r="T33" s="1039" t="str">
        <f>IF(Cdlac[[#This Row],[Quantity]]&gt;0,AND(Application!AK739&lt;&gt;"N/A",Application!AK739&lt;&gt;"")*Cdlac[[#This Row],[Quantity]],"")</f>
        <v/>
      </c>
      <c r="U33" s="1039" t="b">
        <f>AND('Subsidy Contract Calculation'!F17&gt;0,OR('Subsidy Contract Calculation'!C17="Federal",'Subsidy Contract Calculation'!C17="Local - Approved by ED"),Cdlac[[#This Row],[Quantity]]&gt;0)</f>
        <v>0</v>
      </c>
    </row>
    <row r="34" spans="1:21" ht="15" customHeight="1">
      <c r="A34" s="1069"/>
      <c r="B34" s="1069"/>
      <c r="C34" s="1069"/>
      <c r="D34" s="1069"/>
      <c r="E34" s="1069"/>
      <c r="F34" s="1069"/>
      <c r="G34" s="1069"/>
      <c r="H34" s="1069"/>
      <c r="I34" s="1069"/>
      <c r="L34" s="1039" t="str">
        <f>IFERROR(MIN(4,MATCH(Application!B740,UnitSizes,0)-1),"")</f>
        <v/>
      </c>
      <c r="M34" s="1060">
        <f>Application!G740</f>
        <v>0</v>
      </c>
      <c r="N34" s="1066">
        <f>Application!AC740</f>
        <v>0</v>
      </c>
      <c r="O34" s="1066" t="str">
        <f>IF(Cdlac[[#This Row],[Quantity]]&gt;0,IF(Cdlac[[#This Row],[Federal]],30%,IF(AND(OR(NOT($G$38),$G$38=""),$G$43),40%,Cdlac[[#This Row],[iAMI]])),"")</f>
        <v/>
      </c>
      <c r="P34" s="1060" t="str" cm="1">
        <f t="array" ref="P34">IF(Cdlac[[#This Row],[Quantity]]&gt;0,INDEX(TcacRents,$P$18,Cdlac[[#This Row],[Bedrooms]]+1)*Cdlac[[#This Row],[AMI]],"")</f>
        <v/>
      </c>
      <c r="Q34" s="1157"/>
      <c r="R34" s="1060" t="str" cm="1">
        <f t="array" ref="R34">IF(Cdlac[[#This Row],[Quantity]]&gt;0,INDEX(HudFmrs,$P$18,Cdlac[[#This Row],[Bedrooms]]+1),"")</f>
        <v/>
      </c>
      <c r="S34" s="1060" t="str">
        <f>IF(Cdlac[[#This Row],[Quantity]]&gt;0,MAX(0,Cdlac[[#This Row],[Fair Market Rent]]-IF(AND($G$37,$G$38,$G$38&lt;&gt;"",NOT(Cdlac[[#This Row],[Federal]]),Cdlac[[#This Row],[Preservation Rent]]&lt;&gt;""),Cdlac[[#This Row],[Preservation Rent]],Cdlac[[#This Row],[Restricted Rent]])),"")</f>
        <v/>
      </c>
      <c r="T34" s="1039" t="str">
        <f>IF(Cdlac[[#This Row],[Quantity]]&gt;0,AND(Application!AK740&lt;&gt;"N/A",Application!AK740&lt;&gt;"")*Cdlac[[#This Row],[Quantity]],"")</f>
        <v/>
      </c>
      <c r="U34" s="1039" t="b">
        <f>AND('Subsidy Contract Calculation'!F18&gt;0,OR('Subsidy Contract Calculation'!C18="Federal",'Subsidy Contract Calculation'!C18="Local - Approved by ED"),Cdlac[[#This Row],[Quantity]]&gt;0)</f>
        <v>0</v>
      </c>
    </row>
    <row r="35" spans="1:21" ht="15" customHeight="1">
      <c r="B35" s="1061" t="str">
        <f>B10</f>
        <v>B. Rent Savings Benefit</v>
      </c>
      <c r="C35" s="1062"/>
      <c r="D35" s="1062"/>
      <c r="E35" s="1062"/>
      <c r="F35" s="1062"/>
      <c r="G35" s="1062"/>
      <c r="H35" s="1062"/>
      <c r="I35" s="1063"/>
      <c r="L35" s="1039" t="str">
        <f>IFERROR(MIN(4,MATCH(Application!B741,UnitSizes,0)-1),"")</f>
        <v/>
      </c>
      <c r="M35" s="1060">
        <f>Application!G741</f>
        <v>0</v>
      </c>
      <c r="N35" s="1066">
        <f>Application!AC741</f>
        <v>0</v>
      </c>
      <c r="O35" s="1066" t="str">
        <f>IF(Cdlac[[#This Row],[Quantity]]&gt;0,IF(Cdlac[[#This Row],[Federal]],30%,IF(AND(OR(NOT($G$38),$G$38=""),$G$43),40%,Cdlac[[#This Row],[iAMI]])),"")</f>
        <v/>
      </c>
      <c r="P35" s="1060" t="str" cm="1">
        <f t="array" ref="P35">IF(Cdlac[[#This Row],[Quantity]]&gt;0,INDEX(TcacRents,$P$18,Cdlac[[#This Row],[Bedrooms]]+1)*Cdlac[[#This Row],[AMI]],"")</f>
        <v/>
      </c>
      <c r="Q35" s="1157"/>
      <c r="R35" s="1060" t="str" cm="1">
        <f t="array" ref="R35">IF(Cdlac[[#This Row],[Quantity]]&gt;0,INDEX(HudFmrs,$P$18,Cdlac[[#This Row],[Bedrooms]]+1),"")</f>
        <v/>
      </c>
      <c r="S35" s="1060" t="str">
        <f>IF(Cdlac[[#This Row],[Quantity]]&gt;0,MAX(0,Cdlac[[#This Row],[Fair Market Rent]]-IF(AND($G$37,$G$38,$G$38&lt;&gt;"",NOT(Cdlac[[#This Row],[Federal]]),Cdlac[[#This Row],[Preservation Rent]]&lt;&gt;""),Cdlac[[#This Row],[Preservation Rent]],Cdlac[[#This Row],[Restricted Rent]])),"")</f>
        <v/>
      </c>
      <c r="T35" s="1039" t="str">
        <f>IF(Cdlac[[#This Row],[Quantity]]&gt;0,AND(Application!AK741&lt;&gt;"N/A",Application!AK741&lt;&gt;"")*Cdlac[[#This Row],[Quantity]],"")</f>
        <v/>
      </c>
      <c r="U35" s="1039" t="b">
        <f>AND('Subsidy Contract Calculation'!F19&gt;0,OR('Subsidy Contract Calculation'!C19="Federal",'Subsidy Contract Calculation'!C19="Local - Approved by ED"),Cdlac[[#This Row],[Quantity]]&gt;0)</f>
        <v>0</v>
      </c>
    </row>
    <row r="36" spans="1:21" ht="15" customHeight="1">
      <c r="L36" s="1039" t="str">
        <f>IFERROR(MIN(4,MATCH(Application!B742,UnitSizes,0)-1),"")</f>
        <v/>
      </c>
      <c r="M36" s="1060">
        <f>Application!G742</f>
        <v>0</v>
      </c>
      <c r="N36" s="1066">
        <f>Application!AC742</f>
        <v>0</v>
      </c>
      <c r="O36" s="1066" t="str">
        <f>IF(Cdlac[[#This Row],[Quantity]]&gt;0,IF(Cdlac[[#This Row],[Federal]],30%,IF(AND(OR(NOT($G$38),$G$38=""),$G$43),40%,Cdlac[[#This Row],[iAMI]])),"")</f>
        <v/>
      </c>
      <c r="P36" s="1060" t="str" cm="1">
        <f t="array" ref="P36">IF(Cdlac[[#This Row],[Quantity]]&gt;0,INDEX(TcacRents,$P$18,Cdlac[[#This Row],[Bedrooms]]+1)*Cdlac[[#This Row],[AMI]],"")</f>
        <v/>
      </c>
      <c r="Q36" s="1157"/>
      <c r="R36" s="1060" t="str" cm="1">
        <f t="array" ref="R36">IF(Cdlac[[#This Row],[Quantity]]&gt;0,INDEX(HudFmrs,$P$18,Cdlac[[#This Row],[Bedrooms]]+1),"")</f>
        <v/>
      </c>
      <c r="S36" s="1060" t="str">
        <f>IF(Cdlac[[#This Row],[Quantity]]&gt;0,MAX(0,Cdlac[[#This Row],[Fair Market Rent]]-IF(AND($G$37,$G$38,$G$38&lt;&gt;"",NOT(Cdlac[[#This Row],[Federal]]),Cdlac[[#This Row],[Preservation Rent]]&lt;&gt;""),Cdlac[[#This Row],[Preservation Rent]],Cdlac[[#This Row],[Restricted Rent]])),"")</f>
        <v/>
      </c>
      <c r="T36" s="1039" t="str">
        <f>IF(Cdlac[[#This Row],[Quantity]]&gt;0,AND(Application!AK742&lt;&gt;"N/A",Application!AK742&lt;&gt;"")*Cdlac[[#This Row],[Quantity]],"")</f>
        <v/>
      </c>
      <c r="U36" s="1039" t="b">
        <f>AND('Subsidy Contract Calculation'!F20&gt;0,OR('Subsidy Contract Calculation'!C20="Federal",'Subsidy Contract Calculation'!C20="Local - Approved by ED"),Cdlac[[#This Row],[Quantity]]&gt;0)</f>
        <v>0</v>
      </c>
    </row>
    <row r="37" spans="1:21" ht="15" customHeight="1">
      <c r="E37" s="1079" t="s">
        <v>2567</v>
      </c>
      <c r="G37" s="1039" t="b">
        <f>'Points System'!AK61&gt;0</f>
        <v>0</v>
      </c>
      <c r="L37" s="1039" t="str">
        <f>IFERROR(MIN(4,MATCH(Application!B743,UnitSizes,0)-1),"")</f>
        <v/>
      </c>
      <c r="M37" s="1060">
        <f>Application!G743</f>
        <v>0</v>
      </c>
      <c r="N37" s="1066">
        <f>Application!AC743</f>
        <v>0</v>
      </c>
      <c r="O37" s="1066" t="str">
        <f>IF(Cdlac[[#This Row],[Quantity]]&gt;0,IF(Cdlac[[#This Row],[Federal]],30%,IF(AND(OR(NOT($G$38),$G$38=""),$G$43),40%,Cdlac[[#This Row],[iAMI]])),"")</f>
        <v/>
      </c>
      <c r="P37" s="1060" t="str" cm="1">
        <f t="array" ref="P37">IF(Cdlac[[#This Row],[Quantity]]&gt;0,INDEX(TcacRents,$P$18,Cdlac[[#This Row],[Bedrooms]]+1)*Cdlac[[#This Row],[AMI]],"")</f>
        <v/>
      </c>
      <c r="Q37" s="1157"/>
      <c r="R37" s="1060" t="str" cm="1">
        <f t="array" ref="R37">IF(Cdlac[[#This Row],[Quantity]]&gt;0,INDEX(HudFmrs,$P$18,Cdlac[[#This Row],[Bedrooms]]+1),"")</f>
        <v/>
      </c>
      <c r="S37" s="1060" t="str">
        <f>IF(Cdlac[[#This Row],[Quantity]]&gt;0,MAX(0,Cdlac[[#This Row],[Fair Market Rent]]-IF(AND($G$37,$G$38,$G$38&lt;&gt;"",NOT(Cdlac[[#This Row],[Federal]]),Cdlac[[#This Row],[Preservation Rent]]&lt;&gt;""),Cdlac[[#This Row],[Preservation Rent]],Cdlac[[#This Row],[Restricted Rent]])),"")</f>
        <v/>
      </c>
      <c r="T37" s="1039" t="str">
        <f>IF(Cdlac[[#This Row],[Quantity]]&gt;0,AND(Application!AK743&lt;&gt;"N/A",Application!AK743&lt;&gt;"")*Cdlac[[#This Row],[Quantity]],"")</f>
        <v/>
      </c>
      <c r="U37" s="1039" t="b">
        <f>AND('Subsidy Contract Calculation'!F21&gt;0,OR('Subsidy Contract Calculation'!C21="Federal",'Subsidy Contract Calculation'!C21="Local - Approved by ED"),Cdlac[[#This Row],[Quantity]]&gt;0)</f>
        <v>0</v>
      </c>
    </row>
    <row r="38" spans="1:21" ht="15" customHeight="1">
      <c r="E38" s="1079" t="s">
        <v>2206</v>
      </c>
      <c r="G38" s="1156"/>
      <c r="L38" s="1039" t="str">
        <f>IFERROR(MIN(4,MATCH(Application!B744,UnitSizes,0)-1),"")</f>
        <v/>
      </c>
      <c r="M38" s="1060">
        <f>Application!G744</f>
        <v>0</v>
      </c>
      <c r="N38" s="1066">
        <f>Application!AC744</f>
        <v>0</v>
      </c>
      <c r="O38" s="1066" t="str">
        <f>IF(Cdlac[[#This Row],[Quantity]]&gt;0,IF(Cdlac[[#This Row],[Federal]],30%,IF(AND(OR(NOT($G$38),$G$38=""),$G$43),40%,Cdlac[[#This Row],[iAMI]])),"")</f>
        <v/>
      </c>
      <c r="P38" s="1060" t="str" cm="1">
        <f t="array" ref="P38">IF(Cdlac[[#This Row],[Quantity]]&gt;0,INDEX(TcacRents,$P$18,Cdlac[[#This Row],[Bedrooms]]+1)*Cdlac[[#This Row],[AMI]],"")</f>
        <v/>
      </c>
      <c r="Q38" s="1157"/>
      <c r="R38" s="1060" t="str" cm="1">
        <f t="array" ref="R38">IF(Cdlac[[#This Row],[Quantity]]&gt;0,INDEX(HudFmrs,$P$18,Cdlac[[#This Row],[Bedrooms]]+1),"")</f>
        <v/>
      </c>
      <c r="S38" s="1060" t="str">
        <f>IF(Cdlac[[#This Row],[Quantity]]&gt;0,MAX(0,Cdlac[[#This Row],[Fair Market Rent]]-IF(AND($G$37,$G$38,$G$38&lt;&gt;"",NOT(Cdlac[[#This Row],[Federal]]),Cdlac[[#This Row],[Preservation Rent]]&lt;&gt;""),Cdlac[[#This Row],[Preservation Rent]],Cdlac[[#This Row],[Restricted Rent]])),"")</f>
        <v/>
      </c>
      <c r="T38" s="1039" t="str">
        <f>IF(Cdlac[[#This Row],[Quantity]]&gt;0,AND(Application!AK744&lt;&gt;"N/A",Application!AK744&lt;&gt;"")*Cdlac[[#This Row],[Quantity]],"")</f>
        <v/>
      </c>
      <c r="U38" s="1039" t="b">
        <f>AND('Subsidy Contract Calculation'!F22&gt;0,OR('Subsidy Contract Calculation'!C22="Federal",'Subsidy Contract Calculation'!C22="Local - Approved by ED"),Cdlac[[#This Row],[Quantity]]&gt;0)</f>
        <v>0</v>
      </c>
    </row>
    <row r="39" spans="1:21" ht="15" customHeight="1">
      <c r="C39" s="2651" t="str">
        <f>IF(AND(G37,G38,G38&lt;&gt;""),"Enter the average rent charged for each unit type over the last three years, as documented with rent rolls or property audits, in cells Q20:Q44","")</f>
        <v/>
      </c>
      <c r="D39" s="2651"/>
      <c r="E39" s="2651"/>
      <c r="F39" s="2651"/>
      <c r="G39" s="2651"/>
      <c r="H39" s="2651"/>
      <c r="L39" s="1039" t="str">
        <f>IFERROR(MIN(4,MATCH(Application!B745,UnitSizes,0)-1),"")</f>
        <v/>
      </c>
      <c r="M39" s="1060">
        <f>Application!G745</f>
        <v>0</v>
      </c>
      <c r="N39" s="1066">
        <f>Application!AC745</f>
        <v>0</v>
      </c>
      <c r="O39" s="1066" t="str">
        <f>IF(Cdlac[[#This Row],[Quantity]]&gt;0,IF(Cdlac[[#This Row],[Federal]],30%,IF(AND(OR(NOT($G$38),$G$38=""),$G$43),40%,Cdlac[[#This Row],[iAMI]])),"")</f>
        <v/>
      </c>
      <c r="P39" s="1060" t="str" cm="1">
        <f t="array" ref="P39">IF(Cdlac[[#This Row],[Quantity]]&gt;0,INDEX(TcacRents,$P$18,Cdlac[[#This Row],[Bedrooms]]+1)*Cdlac[[#This Row],[AMI]],"")</f>
        <v/>
      </c>
      <c r="Q39" s="1157"/>
      <c r="R39" s="1060" t="str" cm="1">
        <f t="array" ref="R39">IF(Cdlac[[#This Row],[Quantity]]&gt;0,INDEX(HudFmrs,$P$18,Cdlac[[#This Row],[Bedrooms]]+1),"")</f>
        <v/>
      </c>
      <c r="S39" s="1060" t="str">
        <f>IF(Cdlac[[#This Row],[Quantity]]&gt;0,MAX(0,Cdlac[[#This Row],[Fair Market Rent]]-IF(AND($G$37,$G$38,$G$38&lt;&gt;"",NOT(Cdlac[[#This Row],[Federal]]),Cdlac[[#This Row],[Preservation Rent]]&lt;&gt;""),Cdlac[[#This Row],[Preservation Rent]],Cdlac[[#This Row],[Restricted Rent]])),"")</f>
        <v/>
      </c>
      <c r="T39" s="1039" t="str">
        <f>IF(Cdlac[[#This Row],[Quantity]]&gt;0,AND(Application!AK745&lt;&gt;"N/A",Application!AK745&lt;&gt;"")*Cdlac[[#This Row],[Quantity]],"")</f>
        <v/>
      </c>
      <c r="U39" s="1039" t="b">
        <f>AND('Subsidy Contract Calculation'!F23&gt;0,OR('Subsidy Contract Calculation'!C23="Federal",'Subsidy Contract Calculation'!C23="Local - Approved by ED"),Cdlac[[#This Row],[Quantity]]&gt;0)</f>
        <v>0</v>
      </c>
    </row>
    <row r="40" spans="1:21" ht="15" customHeight="1">
      <c r="C40" s="2651"/>
      <c r="D40" s="2651"/>
      <c r="E40" s="2651"/>
      <c r="F40" s="2651"/>
      <c r="G40" s="2651"/>
      <c r="H40" s="2651"/>
      <c r="L40" s="1039" t="str">
        <f>IFERROR(MIN(4,MATCH(Application!B746,UnitSizes,0)-1),"")</f>
        <v/>
      </c>
      <c r="M40" s="1060">
        <f>Application!G746</f>
        <v>0</v>
      </c>
      <c r="N40" s="1066">
        <f>Application!AC746</f>
        <v>0</v>
      </c>
      <c r="O40" s="1066" t="str">
        <f>IF(Cdlac[[#This Row],[Quantity]]&gt;0,IF(Cdlac[[#This Row],[Federal]],30%,IF(AND(OR(NOT($G$38),$G$38=""),$G$43),40%,Cdlac[[#This Row],[iAMI]])),"")</f>
        <v/>
      </c>
      <c r="P40" s="1060" t="str" cm="1">
        <f t="array" ref="P40">IF(Cdlac[[#This Row],[Quantity]]&gt;0,INDEX(TcacRents,$P$18,Cdlac[[#This Row],[Bedrooms]]+1)*Cdlac[[#This Row],[AMI]],"")</f>
        <v/>
      </c>
      <c r="Q40" s="1157"/>
      <c r="R40" s="1060" t="str" cm="1">
        <f t="array" ref="R40">IF(Cdlac[[#This Row],[Quantity]]&gt;0,INDEX(HudFmrs,$P$18,Cdlac[[#This Row],[Bedrooms]]+1),"")</f>
        <v/>
      </c>
      <c r="S40" s="1060" t="str">
        <f>IF(Cdlac[[#This Row],[Quantity]]&gt;0,MAX(0,Cdlac[[#This Row],[Fair Market Rent]]-IF(AND($G$37,$G$38,$G$38&lt;&gt;"",NOT(Cdlac[[#This Row],[Federal]]),Cdlac[[#This Row],[Preservation Rent]]&lt;&gt;""),Cdlac[[#This Row],[Preservation Rent]],Cdlac[[#This Row],[Restricted Rent]])),"")</f>
        <v/>
      </c>
      <c r="T40" s="1039" t="str">
        <f>IF(Cdlac[[#This Row],[Quantity]]&gt;0,AND(Application!AK746&lt;&gt;"N/A",Application!AK746&lt;&gt;"")*Cdlac[[#This Row],[Quantity]],"")</f>
        <v/>
      </c>
      <c r="U40" s="1039" t="b">
        <f>AND('Subsidy Contract Calculation'!F24&gt;0,OR('Subsidy Contract Calculation'!C24="Federal",'Subsidy Contract Calculation'!C24="Local - Approved by ED"),Cdlac[[#This Row],[Quantity]]&gt;0)</f>
        <v>0</v>
      </c>
    </row>
    <row r="41" spans="1:21" ht="15" customHeight="1">
      <c r="C41" s="2651"/>
      <c r="D41" s="2651"/>
      <c r="E41" s="2651"/>
      <c r="F41" s="2651"/>
      <c r="G41" s="2651"/>
      <c r="H41" s="2651"/>
      <c r="L41" s="1039" t="str">
        <f>IFERROR(MIN(4,MATCH(Application!B747,UnitSizes,0)-1),"")</f>
        <v/>
      </c>
      <c r="M41" s="1060">
        <f>Application!G747</f>
        <v>0</v>
      </c>
      <c r="N41" s="1066">
        <f>Application!AC747</f>
        <v>0</v>
      </c>
      <c r="O41" s="1066" t="str">
        <f>IF(Cdlac[[#This Row],[Quantity]]&gt;0,IF(Cdlac[[#This Row],[Federal]],30%,IF(AND(OR(NOT($G$38),$G$38=""),$G$43),40%,Cdlac[[#This Row],[iAMI]])),"")</f>
        <v/>
      </c>
      <c r="P41" s="1060" t="str" cm="1">
        <f t="array" ref="P41">IF(Cdlac[[#This Row],[Quantity]]&gt;0,INDEX(TcacRents,$P$18,Cdlac[[#This Row],[Bedrooms]]+1)*Cdlac[[#This Row],[AMI]],"")</f>
        <v/>
      </c>
      <c r="Q41" s="1157"/>
      <c r="R41" s="1060" t="str" cm="1">
        <f t="array" ref="R41">IF(Cdlac[[#This Row],[Quantity]]&gt;0,INDEX(HudFmrs,$P$18,Cdlac[[#This Row],[Bedrooms]]+1),"")</f>
        <v/>
      </c>
      <c r="S41" s="1060" t="str">
        <f>IF(Cdlac[[#This Row],[Quantity]]&gt;0,MAX(0,Cdlac[[#This Row],[Fair Market Rent]]-IF(AND($G$37,$G$38,$G$38&lt;&gt;"",NOT(Cdlac[[#This Row],[Federal]]),Cdlac[[#This Row],[Preservation Rent]]&lt;&gt;""),Cdlac[[#This Row],[Preservation Rent]],Cdlac[[#This Row],[Restricted Rent]])),"")</f>
        <v/>
      </c>
      <c r="T41" s="1039" t="str">
        <f>IF(Cdlac[[#This Row],[Quantity]]&gt;0,AND(Application!AK747&lt;&gt;"N/A",Application!AK747&lt;&gt;"")*Cdlac[[#This Row],[Quantity]],"")</f>
        <v/>
      </c>
      <c r="U41" s="1039" t="b">
        <f>AND('Subsidy Contract Calculation'!F25&gt;0,OR('Subsidy Contract Calculation'!C25="Federal",'Subsidy Contract Calculation'!C25="Local - Approved by ED"),Cdlac[[#This Row],[Quantity]]&gt;0)</f>
        <v>0</v>
      </c>
    </row>
    <row r="42" spans="1:21" ht="15" customHeight="1">
      <c r="E42" s="1079" t="s">
        <v>1976</v>
      </c>
      <c r="G42" s="1114" cm="1">
        <f t="array" ref="G42">SUMPRODUCT(Cdlac[Quantity],Cdlac[iAMI],IF(Cdlac[Federal],0,1))/SUMIFS(Cdlac[Quantity],Cdlac[Federal],FALSE)</f>
        <v>0.59375000000000011</v>
      </c>
      <c r="L42" s="1039" t="str">
        <f>IFERROR(MIN(4,MATCH(Application!B748,UnitSizes,0)-1),"")</f>
        <v/>
      </c>
      <c r="M42" s="1060">
        <f>Application!G748</f>
        <v>0</v>
      </c>
      <c r="N42" s="1066">
        <f>Application!AC748</f>
        <v>0</v>
      </c>
      <c r="O42" s="1066" t="str">
        <f>IF(Cdlac[[#This Row],[Quantity]]&gt;0,IF(Cdlac[[#This Row],[Federal]],30%,IF(AND(OR(NOT($G$38),$G$38=""),$G$43),40%,Cdlac[[#This Row],[iAMI]])),"")</f>
        <v/>
      </c>
      <c r="P42" s="1060" t="str" cm="1">
        <f t="array" ref="P42">IF(Cdlac[[#This Row],[Quantity]]&gt;0,INDEX(TcacRents,$P$18,Cdlac[[#This Row],[Bedrooms]]+1)*Cdlac[[#This Row],[AMI]],"")</f>
        <v/>
      </c>
      <c r="Q42" s="1157"/>
      <c r="R42" s="1060" t="str" cm="1">
        <f t="array" ref="R42">IF(Cdlac[[#This Row],[Quantity]]&gt;0,INDEX(HudFmrs,$P$18,Cdlac[[#This Row],[Bedrooms]]+1),"")</f>
        <v/>
      </c>
      <c r="S42" s="1060" t="str">
        <f>IF(Cdlac[[#This Row],[Quantity]]&gt;0,MAX(0,Cdlac[[#This Row],[Fair Market Rent]]-IF(AND($G$37,$G$38,$G$38&lt;&gt;"",NOT(Cdlac[[#This Row],[Federal]]),Cdlac[[#This Row],[Preservation Rent]]&lt;&gt;""),Cdlac[[#This Row],[Preservation Rent]],Cdlac[[#This Row],[Restricted Rent]])),"")</f>
        <v/>
      </c>
      <c r="T42" s="1039" t="str">
        <f>IF(Cdlac[[#This Row],[Quantity]]&gt;0,AND(Application!AK748&lt;&gt;"N/A",Application!AK748&lt;&gt;"")*Cdlac[[#This Row],[Quantity]],"")</f>
        <v/>
      </c>
      <c r="U42" s="1039" t="b">
        <f>AND('Subsidy Contract Calculation'!F26&gt;0,OR('Subsidy Contract Calculation'!C26="Federal",'Subsidy Contract Calculation'!C26="Local - Approved by ED"),Cdlac[[#This Row],[Quantity]]&gt;0)</f>
        <v>0</v>
      </c>
    </row>
    <row r="43" spans="1:21" ht="15" customHeight="1">
      <c r="E43" s="1079" t="s">
        <v>1971</v>
      </c>
      <c r="G43" s="1076" t="b">
        <f>G42&lt;40%</f>
        <v>0</v>
      </c>
      <c r="L43" s="1039" t="str">
        <f>IFERROR(MIN(4,MATCH(Application!B749,UnitSizes,0)-1),"")</f>
        <v/>
      </c>
      <c r="M43" s="1060">
        <f>Application!G749</f>
        <v>0</v>
      </c>
      <c r="N43" s="1066">
        <f>Application!AC749</f>
        <v>0</v>
      </c>
      <c r="O43" s="1066" t="str">
        <f>IF(Cdlac[[#This Row],[Quantity]]&gt;0,IF(Cdlac[[#This Row],[Federal]],30%,IF(AND(OR(NOT($G$38),$G$38=""),$G$43),40%,Cdlac[[#This Row],[iAMI]])),"")</f>
        <v/>
      </c>
      <c r="P43" s="1060" t="str" cm="1">
        <f t="array" ref="P43">IF(Cdlac[[#This Row],[Quantity]]&gt;0,INDEX(TcacRents,$P$18,Cdlac[[#This Row],[Bedrooms]]+1)*Cdlac[[#This Row],[AMI]],"")</f>
        <v/>
      </c>
      <c r="Q43" s="1157"/>
      <c r="R43" s="1060" t="str" cm="1">
        <f t="array" ref="R43">IF(Cdlac[[#This Row],[Quantity]]&gt;0,INDEX(HudFmrs,$P$18,Cdlac[[#This Row],[Bedrooms]]+1),"")</f>
        <v/>
      </c>
      <c r="S43" s="1060" t="str">
        <f>IF(Cdlac[[#This Row],[Quantity]]&gt;0,MAX(0,Cdlac[[#This Row],[Fair Market Rent]]-IF(AND($G$37,$G$38,$G$38&lt;&gt;"",NOT(Cdlac[[#This Row],[Federal]]),Cdlac[[#This Row],[Preservation Rent]]&lt;&gt;""),Cdlac[[#This Row],[Preservation Rent]],Cdlac[[#This Row],[Restricted Rent]])),"")</f>
        <v/>
      </c>
      <c r="T43" s="1039" t="str">
        <f>IF(Cdlac[[#This Row],[Quantity]]&gt;0,AND(Application!AK749&lt;&gt;"N/A",Application!AK749&lt;&gt;"")*Cdlac[[#This Row],[Quantity]],"")</f>
        <v/>
      </c>
      <c r="U43" s="1039" t="b">
        <f>AND('Subsidy Contract Calculation'!F27&gt;0,OR('Subsidy Contract Calculation'!C27="Federal",'Subsidy Contract Calculation'!C27="Local - Approved by ED"),Cdlac[[#This Row],[Quantity]]&gt;0)</f>
        <v>0</v>
      </c>
    </row>
    <row r="44" spans="1:21" ht="15" customHeight="1">
      <c r="L44" s="1039" t="str">
        <f>IFERROR(MIN(4,MATCH(Application!B750,UnitSizes,0)-1),"")</f>
        <v/>
      </c>
      <c r="M44" s="1060">
        <f>Application!G750</f>
        <v>0</v>
      </c>
      <c r="N44" s="1066">
        <f>Application!AC750</f>
        <v>0</v>
      </c>
      <c r="O44" s="1066" t="str">
        <f>IF(Cdlac[[#This Row],[Quantity]]&gt;0,IF(Cdlac[[#This Row],[Federal]],30%,IF(AND(OR(NOT($G$38),$G$38=""),$G$43),40%,Cdlac[[#This Row],[iAMI]])),"")</f>
        <v/>
      </c>
      <c r="P44" s="1060" t="str" cm="1">
        <f t="array" ref="P44">IF(Cdlac[[#This Row],[Quantity]]&gt;0,INDEX(TcacRents,$P$18,Cdlac[[#This Row],[Bedrooms]]+1)*Cdlac[[#This Row],[AMI]],"")</f>
        <v/>
      </c>
      <c r="Q44" s="1157"/>
      <c r="R44" s="1060" t="str" cm="1">
        <f t="array" ref="R44">IF(Cdlac[[#This Row],[Quantity]]&gt;0,INDEX(HudFmrs,$P$18,Cdlac[[#This Row],[Bedrooms]]+1),"")</f>
        <v/>
      </c>
      <c r="S44" s="1060" t="str">
        <f>IF(Cdlac[[#This Row],[Quantity]]&gt;0,MAX(0,Cdlac[[#This Row],[Fair Market Rent]]-IF(AND($G$37,$G$38,$G$38&lt;&gt;"",NOT(Cdlac[[#This Row],[Federal]]),Cdlac[[#This Row],[Preservation Rent]]&lt;&gt;""),Cdlac[[#This Row],[Preservation Rent]],Cdlac[[#This Row],[Restricted Rent]])),"")</f>
        <v/>
      </c>
      <c r="T44" s="1039" t="str">
        <f>IF(Cdlac[[#This Row],[Quantity]]&gt;0,AND(Application!AK750&lt;&gt;"N/A",Application!AK750&lt;&gt;"")*Cdlac[[#This Row],[Quantity]],"")</f>
        <v/>
      </c>
      <c r="U44" s="1039" t="b">
        <f>AND('Subsidy Contract Calculation'!F28&gt;0,OR('Subsidy Contract Calculation'!C28="Federal",'Subsidy Contract Calculation'!C28="Local - Approved by ED"),Cdlac[[#This Row],[Quantity]]&gt;0)</f>
        <v>0</v>
      </c>
    </row>
    <row r="45" spans="1:21" ht="15" customHeight="1">
      <c r="E45" s="1079" t="s">
        <v>1921</v>
      </c>
      <c r="G45" s="1073">
        <f>IFERROR(SUMPRODUCT(Cdlac[Quantity],Cdlac[Delta]),0)</f>
        <v>24277.8</v>
      </c>
      <c r="L45" s="1039" t="str">
        <f>IFERROR(MIN(4,MATCH(Application!B751,UnitSizes,0)-1),"")</f>
        <v/>
      </c>
      <c r="M45" s="1060">
        <f>Application!G751</f>
        <v>0</v>
      </c>
      <c r="N45" s="1066">
        <f>Application!AC751</f>
        <v>0</v>
      </c>
      <c r="O45" s="1066" t="str">
        <f>IF(Cdlac[[#This Row],[Quantity]]&gt;0,IF(Cdlac[[#This Row],[Federal]],30%,IF(AND(OR(NOT($G$38),$G$38=""),$G$43),40%,Cdlac[[#This Row],[iAMI]])),"")</f>
        <v/>
      </c>
      <c r="P45" s="1060" t="str" cm="1">
        <f t="array" ref="P45">IF(Cdlac[[#This Row],[Quantity]]&gt;0,INDEX(TcacRents,$P$18,Cdlac[[#This Row],[Bedrooms]]+1)*Cdlac[[#This Row],[AMI]],"")</f>
        <v/>
      </c>
      <c r="Q45" s="1157"/>
      <c r="R45" s="1060" t="str" cm="1">
        <f t="array" ref="R45">IF(Cdlac[[#This Row],[Quantity]]&gt;0,INDEX(HudFmrs,$P$18,Cdlac[[#This Row],[Bedrooms]]+1),"")</f>
        <v/>
      </c>
      <c r="S45" s="1060" t="str">
        <f>IF(Cdlac[[#This Row],[Quantity]]&gt;0,MAX(0,Cdlac[[#This Row],[Fair Market Rent]]-IF(AND($G$37,$G$38,$G$38&lt;&gt;"",NOT(Cdlac[[#This Row],[Federal]]),Cdlac[[#This Row],[Preservation Rent]]&lt;&gt;""),Cdlac[[#This Row],[Preservation Rent]],Cdlac[[#This Row],[Restricted Rent]])),"")</f>
        <v/>
      </c>
      <c r="T45" s="1039" t="str">
        <f>IF(Cdlac[[#This Row],[Quantity]]&gt;0,AND(Application!AK751&lt;&gt;"N/A",Application!AK751&lt;&gt;"")*Cdlac[[#This Row],[Quantity]],"")</f>
        <v/>
      </c>
      <c r="U45" s="1039" t="b">
        <f>AND('Subsidy Contract Calculation'!F29&gt;0,OR('Subsidy Contract Calculation'!C29="Federal",'Subsidy Contract Calculation'!C29="Local - Approved by ED"),Cdlac[[#This Row],[Quantity]]&gt;0)</f>
        <v>0</v>
      </c>
    </row>
    <row r="46" spans="1:21" ht="15" customHeight="1">
      <c r="E46" s="1111" t="s">
        <v>1977</v>
      </c>
      <c r="F46" s="1107" t="s">
        <v>1965</v>
      </c>
      <c r="G46" s="1115">
        <f>12*15</f>
        <v>180</v>
      </c>
      <c r="L46" s="1039" t="str">
        <f>IFERROR(MIN(4,MATCH(Application!B752,UnitSizes,0)-1),"")</f>
        <v/>
      </c>
      <c r="M46" s="1060">
        <f>Application!G752</f>
        <v>0</v>
      </c>
      <c r="N46" s="1066">
        <f>Application!AC752</f>
        <v>0</v>
      </c>
      <c r="O46" s="1066" t="str">
        <f>IF(Cdlac[[#This Row],[Quantity]]&gt;0,IF(Cdlac[[#This Row],[Federal]],30%,IF(AND(OR(NOT($G$38),$G$38=""),$G$43),40%,Cdlac[[#This Row],[iAMI]])),"")</f>
        <v/>
      </c>
      <c r="P46" s="1060" t="str" cm="1">
        <f t="array" ref="P46">IF(Cdlac[[#This Row],[Quantity]]&gt;0,INDEX(TcacRents,$P$18,Cdlac[[#This Row],[Bedrooms]]+1)*Cdlac[[#This Row],[AMI]],"")</f>
        <v/>
      </c>
      <c r="Q46" s="1157"/>
      <c r="R46" s="1060" t="str" cm="1">
        <f t="array" ref="R46">IF(Cdlac[[#This Row],[Quantity]]&gt;0,INDEX(HudFmrs,$P$18,Cdlac[[#This Row],[Bedrooms]]+1),"")</f>
        <v/>
      </c>
      <c r="S46" s="1060" t="str">
        <f>IF(Cdlac[[#This Row],[Quantity]]&gt;0,MAX(0,Cdlac[[#This Row],[Fair Market Rent]]-IF(AND($G$37,$G$38,$G$38&lt;&gt;"",NOT(Cdlac[[#This Row],[Federal]]),Cdlac[[#This Row],[Preservation Rent]]&lt;&gt;""),Cdlac[[#This Row],[Preservation Rent]],Cdlac[[#This Row],[Restricted Rent]])),"")</f>
        <v/>
      </c>
      <c r="T46" s="1039" t="str">
        <f>IF(Cdlac[[#This Row],[Quantity]]&gt;0,AND(Application!AK752&lt;&gt;"N/A",Application!AK752&lt;&gt;"")*Cdlac[[#This Row],[Quantity]],"")</f>
        <v/>
      </c>
      <c r="U46" s="1039" t="b">
        <f>AND('Subsidy Contract Calculation'!F30&gt;0,OR('Subsidy Contract Calculation'!C30="Federal",'Subsidy Contract Calculation'!C30="Local - Approved by ED"),Cdlac[[#This Row],[Quantity]]&gt;0)</f>
        <v>0</v>
      </c>
    </row>
    <row r="47" spans="1:21" ht="15" customHeight="1">
      <c r="E47" s="1116" t="s">
        <v>1916</v>
      </c>
      <c r="F47" s="1041"/>
      <c r="G47" s="1117">
        <f>G45*G46</f>
        <v>4370004</v>
      </c>
      <c r="L47" s="1039" t="str">
        <f>IFERROR(MIN(4,MATCH(Application!B753,UnitSizes,0)-1),"")</f>
        <v/>
      </c>
      <c r="M47" s="1060">
        <f>Application!G753</f>
        <v>0</v>
      </c>
      <c r="N47" s="1066">
        <f>Application!AC753</f>
        <v>0</v>
      </c>
      <c r="O47" s="1066" t="str">
        <f>IF(Cdlac[[#This Row],[Quantity]]&gt;0,IF(Cdlac[[#This Row],[Federal]],30%,IF(AND(OR(NOT($G$38),$G$38=""),$G$43),40%,Cdlac[[#This Row],[iAMI]])),"")</f>
        <v/>
      </c>
      <c r="P47" s="1060" t="str" cm="1">
        <f t="array" ref="P47">IF(Cdlac[[#This Row],[Quantity]]&gt;0,INDEX(TcacRents,$P$18,Cdlac[[#This Row],[Bedrooms]]+1)*Cdlac[[#This Row],[AMI]],"")</f>
        <v/>
      </c>
      <c r="Q47" s="1157"/>
      <c r="R47" s="1060" t="str" cm="1">
        <f t="array" ref="R47">IF(Cdlac[[#This Row],[Quantity]]&gt;0,INDEX(HudFmrs,$P$18,Cdlac[[#This Row],[Bedrooms]]+1),"")</f>
        <v/>
      </c>
      <c r="S47" s="1060" t="str">
        <f>IF(Cdlac[[#This Row],[Quantity]]&gt;0,MAX(0,Cdlac[[#This Row],[Fair Market Rent]]-IF(AND($G$37,$G$38,$G$38&lt;&gt;"",NOT(Cdlac[[#This Row],[Federal]]),Cdlac[[#This Row],[Preservation Rent]]&lt;&gt;""),Cdlac[[#This Row],[Preservation Rent]],Cdlac[[#This Row],[Restricted Rent]])),"")</f>
        <v/>
      </c>
      <c r="T47" s="1039" t="str">
        <f>IF(Cdlac[[#This Row],[Quantity]]&gt;0,AND(Application!AK753&lt;&gt;"N/A",Application!AK753&lt;&gt;"")*Cdlac[[#This Row],[Quantity]],"")</f>
        <v/>
      </c>
      <c r="U47" s="1039" t="b">
        <f>AND('Subsidy Contract Calculation'!F31&gt;0,OR('Subsidy Contract Calculation'!C31="Federal",'Subsidy Contract Calculation'!C31="Local - Approved by ED"),Cdlac[[#This Row],[Quantity]]&gt;0)</f>
        <v>0</v>
      </c>
    </row>
    <row r="48" spans="1:21" ht="15" customHeight="1">
      <c r="L48" s="1039" t="str">
        <f>IFERROR(MIN(4,MATCH(Application!B754,UnitSizes,0)-1),"")</f>
        <v/>
      </c>
      <c r="M48" s="1060">
        <f>Application!G754</f>
        <v>0</v>
      </c>
      <c r="N48" s="1066">
        <f>Application!AC754</f>
        <v>0</v>
      </c>
      <c r="O48" s="1066" t="str">
        <f>IF(Cdlac[[#This Row],[Quantity]]&gt;0,IF(Cdlac[[#This Row],[Federal]],30%,IF(AND(OR(NOT($G$38),$G$38=""),$G$43),40%,Cdlac[[#This Row],[iAMI]])),"")</f>
        <v/>
      </c>
      <c r="P48" s="1060" t="str" cm="1">
        <f t="array" ref="P48">IF(Cdlac[[#This Row],[Quantity]]&gt;0,INDEX(TcacRents,$P$18,Cdlac[[#This Row],[Bedrooms]]+1)*Cdlac[[#This Row],[AMI]],"")</f>
        <v/>
      </c>
      <c r="Q48" s="1157"/>
      <c r="R48" s="1060" t="str" cm="1">
        <f t="array" ref="R48">IF(Cdlac[[#This Row],[Quantity]]&gt;0,INDEX(HudFmrs,$P$18,Cdlac[[#This Row],[Bedrooms]]+1),"")</f>
        <v/>
      </c>
      <c r="S48" s="1060" t="str">
        <f>IF(Cdlac[[#This Row],[Quantity]]&gt;0,MAX(0,Cdlac[[#This Row],[Fair Market Rent]]-IF(AND($G$37,$G$38,$G$38&lt;&gt;"",NOT(Cdlac[[#This Row],[Federal]]),Cdlac[[#This Row],[Preservation Rent]]&lt;&gt;""),Cdlac[[#This Row],[Preservation Rent]],Cdlac[[#This Row],[Restricted Rent]])),"")</f>
        <v/>
      </c>
      <c r="T48" s="1039" t="str">
        <f>IF(Cdlac[[#This Row],[Quantity]]&gt;0,AND(Application!AK754&lt;&gt;"N/A",Application!AK754&lt;&gt;"")*Cdlac[[#This Row],[Quantity]],"")</f>
        <v/>
      </c>
      <c r="U48" s="1039" t="b">
        <f>AND('Subsidy Contract Calculation'!F32&gt;0,OR('Subsidy Contract Calculation'!C32="Federal",'Subsidy Contract Calculation'!C32="Local - Approved by ED"),Cdlac[[#This Row],[Quantity]]&gt;0)</f>
        <v>0</v>
      </c>
    </row>
    <row r="49" spans="2:21" ht="15" customHeight="1">
      <c r="B49" s="1061" t="str">
        <f>B11&amp;": "&amp;B12</f>
        <v>C. Population Benefit: (i) Extremely Low Income Benefit</v>
      </c>
      <c r="C49" s="1062"/>
      <c r="D49" s="1062"/>
      <c r="E49" s="1062"/>
      <c r="F49" s="1062"/>
      <c r="G49" s="1062"/>
      <c r="H49" s="1062"/>
      <c r="I49" s="1063"/>
      <c r="L49" s="1039" t="str">
        <f>IFERROR(MIN(4,MATCH(Application!B755,UnitSizes,0)-1),"")</f>
        <v/>
      </c>
      <c r="M49" s="1060">
        <f>Application!G755</f>
        <v>0</v>
      </c>
      <c r="N49" s="1066">
        <f>Application!AC755</f>
        <v>0</v>
      </c>
      <c r="O49" s="1066" t="str">
        <f>IF(Cdlac[[#This Row],[Quantity]]&gt;0,IF(Cdlac[[#This Row],[Federal]],30%,IF(AND(OR(NOT($G$38),$G$38=""),$G$43),40%,Cdlac[[#This Row],[iAMI]])),"")</f>
        <v/>
      </c>
      <c r="P49" s="1060" t="str" cm="1">
        <f t="array" ref="P49">IF(Cdlac[[#This Row],[Quantity]]&gt;0,INDEX(TcacRents,$P$18,Cdlac[[#This Row],[Bedrooms]]+1)*Cdlac[[#This Row],[AMI]],"")</f>
        <v/>
      </c>
      <c r="Q49" s="1157"/>
      <c r="R49" s="1060" t="str" cm="1">
        <f t="array" ref="R49">IF(Cdlac[[#This Row],[Quantity]]&gt;0,INDEX(HudFmrs,$P$18,Cdlac[[#This Row],[Bedrooms]]+1),"")</f>
        <v/>
      </c>
      <c r="S49" s="1060" t="str">
        <f>IF(Cdlac[[#This Row],[Quantity]]&gt;0,MAX(0,Cdlac[[#This Row],[Fair Market Rent]]-IF(AND($G$37,$G$38,$G$38&lt;&gt;"",NOT(Cdlac[[#This Row],[Federal]]),Cdlac[[#This Row],[Preservation Rent]]&lt;&gt;""),Cdlac[[#This Row],[Preservation Rent]],Cdlac[[#This Row],[Restricted Rent]])),"")</f>
        <v/>
      </c>
      <c r="T49" s="1039" t="str">
        <f>IF(Cdlac[[#This Row],[Quantity]]&gt;0,AND(Application!AK755&lt;&gt;"N/A",Application!AK755&lt;&gt;"")*Cdlac[[#This Row],[Quantity]],"")</f>
        <v/>
      </c>
      <c r="U49" s="1039" t="b">
        <f>AND('Subsidy Contract Calculation'!F33&gt;0,OR('Subsidy Contract Calculation'!C33="Federal",'Subsidy Contract Calculation'!C33="Local - Approved by ED"),Cdlac[[#This Row],[Quantity]]&gt;0)</f>
        <v>0</v>
      </c>
    </row>
    <row r="50" spans="2:21" ht="15" customHeight="1">
      <c r="L50" s="1039" t="str">
        <f>IFERROR(MIN(4,MATCH(Application!B756,UnitSizes,0)-1),"")</f>
        <v/>
      </c>
      <c r="M50" s="1060">
        <f>Application!G756</f>
        <v>0</v>
      </c>
      <c r="N50" s="1066">
        <f>Application!AC756</f>
        <v>0</v>
      </c>
      <c r="O50" s="1066" t="str">
        <f>IF(Cdlac[[#This Row],[Quantity]]&gt;0,IF(Cdlac[[#This Row],[Federal]],30%,IF(AND(OR(NOT($G$38),$G$38=""),$G$43),40%,Cdlac[[#This Row],[iAMI]])),"")</f>
        <v/>
      </c>
      <c r="P50" s="1060" t="str" cm="1">
        <f t="array" ref="P50">IF(Cdlac[[#This Row],[Quantity]]&gt;0,INDEX(TcacRents,$P$18,Cdlac[[#This Row],[Bedrooms]]+1)*Cdlac[[#This Row],[AMI]],"")</f>
        <v/>
      </c>
      <c r="Q50" s="1157"/>
      <c r="R50" s="1060" t="str" cm="1">
        <f t="array" ref="R50">IF(Cdlac[[#This Row],[Quantity]]&gt;0,INDEX(HudFmrs,$P$18,Cdlac[[#This Row],[Bedrooms]]+1),"")</f>
        <v/>
      </c>
      <c r="S50" s="1060" t="str">
        <f>IF(Cdlac[[#This Row],[Quantity]]&gt;0,MAX(0,Cdlac[[#This Row],[Fair Market Rent]]-IF(AND($G$37,$G$38,$G$38&lt;&gt;"",NOT(Cdlac[[#This Row],[Federal]]),Cdlac[[#This Row],[Preservation Rent]]&lt;&gt;""),Cdlac[[#This Row],[Preservation Rent]],Cdlac[[#This Row],[Restricted Rent]])),"")</f>
        <v/>
      </c>
      <c r="T50" s="1039" t="str">
        <f>IF(Cdlac[[#This Row],[Quantity]]&gt;0,AND(Application!AK756&lt;&gt;"N/A",Application!AK756&lt;&gt;"")*Cdlac[[#This Row],[Quantity]],"")</f>
        <v/>
      </c>
      <c r="U50" s="1039" t="b">
        <f>AND('Subsidy Contract Calculation'!F34&gt;0,OR('Subsidy Contract Calculation'!C34="Federal",'Subsidy Contract Calculation'!C34="Local - Approved by ED"),Cdlac[[#This Row],[Quantity]]&gt;0)</f>
        <v>0</v>
      </c>
    </row>
    <row r="51" spans="2:21" ht="15" customHeight="1">
      <c r="E51" s="1111" t="s">
        <v>1968</v>
      </c>
      <c r="G51" s="1074">
        <f>SUMIFS(Cdlac[Quantity],Cdlac[iAMI],"&lt;=30%")</f>
        <v>7</v>
      </c>
      <c r="L51" s="1039" t="str">
        <f>IFERROR(MIN(4,MATCH(Application!B757,UnitSizes,0)-1),"")</f>
        <v/>
      </c>
      <c r="M51" s="1060">
        <f>Application!G757</f>
        <v>0</v>
      </c>
      <c r="N51" s="1066">
        <f>Application!AC757</f>
        <v>0</v>
      </c>
      <c r="O51" s="1066" t="str">
        <f>IF(Cdlac[[#This Row],[Quantity]]&gt;0,IF(Cdlac[[#This Row],[Federal]],30%,IF(AND(OR(NOT($G$38),$G$38=""),$G$43),40%,Cdlac[[#This Row],[iAMI]])),"")</f>
        <v/>
      </c>
      <c r="P51" s="1060" t="str" cm="1">
        <f t="array" ref="P51">IF(Cdlac[[#This Row],[Quantity]]&gt;0,INDEX(TcacRents,$P$18,Cdlac[[#This Row],[Bedrooms]]+1)*Cdlac[[#This Row],[AMI]],"")</f>
        <v/>
      </c>
      <c r="Q51" s="1157"/>
      <c r="R51" s="1060" t="str" cm="1">
        <f t="array" ref="R51">IF(Cdlac[[#This Row],[Quantity]]&gt;0,INDEX(HudFmrs,$P$18,Cdlac[[#This Row],[Bedrooms]]+1),"")</f>
        <v/>
      </c>
      <c r="S51" s="1060" t="str">
        <f>IF(Cdlac[[#This Row],[Quantity]]&gt;0,MAX(0,Cdlac[[#This Row],[Fair Market Rent]]-IF(AND($G$37,$G$38,$G$38&lt;&gt;"",NOT(Cdlac[[#This Row],[Federal]]),Cdlac[[#This Row],[Preservation Rent]]&lt;&gt;""),Cdlac[[#This Row],[Preservation Rent]],Cdlac[[#This Row],[Restricted Rent]])),"")</f>
        <v/>
      </c>
      <c r="T51" s="1039" t="str">
        <f>IF(Cdlac[[#This Row],[Quantity]]&gt;0,AND(Application!AK757&lt;&gt;"N/A",Application!AK757&lt;&gt;"")*Cdlac[[#This Row],[Quantity]],"")</f>
        <v/>
      </c>
      <c r="U51" s="1039" t="b">
        <f>AND('Subsidy Contract Calculation'!F35&gt;0,OR('Subsidy Contract Calculation'!C35="Federal",'Subsidy Contract Calculation'!C35="Local - Approved by ED"),Cdlac[[#This Row],[Quantity]]&gt;0)</f>
        <v>0</v>
      </c>
    </row>
    <row r="52" spans="2:21" ht="15" customHeight="1">
      <c r="E52" s="1111" t="s">
        <v>1967</v>
      </c>
      <c r="G52" s="1074">
        <f>ROUNDDOWN(E29*50%,0)</f>
        <v>24</v>
      </c>
      <c r="L52" s="1039" t="str">
        <f>IFERROR(MIN(4,MATCH(Application!B758,UnitSizes,0)-1),"")</f>
        <v/>
      </c>
      <c r="M52" s="1060">
        <f>Application!G758</f>
        <v>0</v>
      </c>
      <c r="N52" s="1066">
        <f>Application!AC758</f>
        <v>0</v>
      </c>
      <c r="O52" s="1066" t="str">
        <f>IF(Cdlac[[#This Row],[Quantity]]&gt;0,IF(Cdlac[[#This Row],[Federal]],30%,IF(AND(OR(NOT($G$38),$G$38=""),$G$43),40%,Cdlac[[#This Row],[iAMI]])),"")</f>
        <v/>
      </c>
      <c r="P52" s="1060" t="str" cm="1">
        <f t="array" ref="P52">IF(Cdlac[[#This Row],[Quantity]]&gt;0,INDEX(TcacRents,$P$18,Cdlac[[#This Row],[Bedrooms]]+1)*Cdlac[[#This Row],[AMI]],"")</f>
        <v/>
      </c>
      <c r="Q52" s="1157"/>
      <c r="R52" s="1060" t="str" cm="1">
        <f t="array" ref="R52">IF(Cdlac[[#This Row],[Quantity]]&gt;0,INDEX(HudFmrs,$P$18,Cdlac[[#This Row],[Bedrooms]]+1),"")</f>
        <v/>
      </c>
      <c r="S52" s="1060" t="str">
        <f>IF(Cdlac[[#This Row],[Quantity]]&gt;0,MAX(0,Cdlac[[#This Row],[Fair Market Rent]]-IF(AND($G$37,$G$38,$G$38&lt;&gt;"",NOT(Cdlac[[#This Row],[Federal]]),Cdlac[[#This Row],[Preservation Rent]]&lt;&gt;""),Cdlac[[#This Row],[Preservation Rent]],Cdlac[[#This Row],[Restricted Rent]])),"")</f>
        <v/>
      </c>
      <c r="T52" s="1039" t="str">
        <f>IF(Cdlac[[#This Row],[Quantity]]&gt;0,AND(Application!AK758&lt;&gt;"N/A",Application!AK758&lt;&gt;"")*Cdlac[[#This Row],[Quantity]],"")</f>
        <v/>
      </c>
      <c r="U52" s="1039" t="b">
        <f>AND('Subsidy Contract Calculation'!F36&gt;0,OR('Subsidy Contract Calculation'!C36="Federal",'Subsidy Contract Calculation'!C36="Local - Approved by ED"),Cdlac[[#This Row],[Quantity]]&gt;0)</f>
        <v>0</v>
      </c>
    </row>
    <row r="53" spans="2:21" ht="15" customHeight="1">
      <c r="E53" s="1111"/>
      <c r="G53" s="1074"/>
      <c r="L53" s="1039" t="str">
        <f>IFERROR(MIN(4,MATCH(Application!B759,UnitSizes,0)-1),"")</f>
        <v/>
      </c>
      <c r="M53" s="1060">
        <f>Application!G759</f>
        <v>0</v>
      </c>
      <c r="N53" s="1066">
        <f>Application!AC759</f>
        <v>0</v>
      </c>
      <c r="O53" s="1066" t="str">
        <f>IF(Cdlac[[#This Row],[Quantity]]&gt;0,IF(Cdlac[[#This Row],[Federal]],30%,IF(AND(OR(NOT($G$38),$G$38=""),$G$43),40%,Cdlac[[#This Row],[iAMI]])),"")</f>
        <v/>
      </c>
      <c r="P53" s="1060" t="str" cm="1">
        <f t="array" ref="P53">IF(Cdlac[[#This Row],[Quantity]]&gt;0,INDEX(TcacRents,$P$18,Cdlac[[#This Row],[Bedrooms]]+1)*Cdlac[[#This Row],[AMI]],"")</f>
        <v/>
      </c>
      <c r="Q53" s="1157"/>
      <c r="R53" s="1060" t="str" cm="1">
        <f t="array" ref="R53">IF(Cdlac[[#This Row],[Quantity]]&gt;0,INDEX(HudFmrs,$P$18,Cdlac[[#This Row],[Bedrooms]]+1),"")</f>
        <v/>
      </c>
      <c r="S53" s="1060" t="str">
        <f>IF(Cdlac[[#This Row],[Quantity]]&gt;0,MAX(0,Cdlac[[#This Row],[Fair Market Rent]]-IF(AND($G$37,$G$38,$G$38&lt;&gt;"",NOT(Cdlac[[#This Row],[Federal]]),Cdlac[[#This Row],[Preservation Rent]]&lt;&gt;""),Cdlac[[#This Row],[Preservation Rent]],Cdlac[[#This Row],[Restricted Rent]])),"")</f>
        <v/>
      </c>
      <c r="T53" s="1039" t="str">
        <f>IF(Cdlac[[#This Row],[Quantity]]&gt;0,AND(Application!AK759&lt;&gt;"N/A",Application!AK759&lt;&gt;"")*Cdlac[[#This Row],[Quantity]],"")</f>
        <v/>
      </c>
      <c r="U53" s="1039" t="b">
        <f>AND('Subsidy Contract Calculation'!F37&gt;0,OR('Subsidy Contract Calculation'!C37="Federal",'Subsidy Contract Calculation'!C37="Local - Approved by ED"),Cdlac[[#This Row],[Quantity]]&gt;0)</f>
        <v>0</v>
      </c>
    </row>
    <row r="54" spans="2:21" ht="15" customHeight="1">
      <c r="E54" s="1111" t="s">
        <v>1927</v>
      </c>
      <c r="G54" s="1108">
        <f>MIN(G51:G52)</f>
        <v>7</v>
      </c>
      <c r="L54" s="1039" t="str">
        <f>IFERROR(MIN(4,MATCH(Application!B760,UnitSizes,0)-1),"")</f>
        <v/>
      </c>
      <c r="M54" s="1060">
        <f>Application!G760</f>
        <v>0</v>
      </c>
      <c r="N54" s="1066">
        <f>Application!AC760</f>
        <v>0</v>
      </c>
      <c r="O54" s="1066" t="str">
        <f>IF(Cdlac[[#This Row],[Quantity]]&gt;0,IF(Cdlac[[#This Row],[Federal]],30%,IF(AND(OR(NOT($G$38),$G$38=""),$G$43),40%,Cdlac[[#This Row],[iAMI]])),"")</f>
        <v/>
      </c>
      <c r="P54" s="1060" t="str" cm="1">
        <f t="array" ref="P54">IF(Cdlac[[#This Row],[Quantity]]&gt;0,INDEX(TcacRents,$P$18,Cdlac[[#This Row],[Bedrooms]]+1)*Cdlac[[#This Row],[AMI]],"")</f>
        <v/>
      </c>
      <c r="Q54" s="1157"/>
      <c r="R54" s="1060" t="str" cm="1">
        <f t="array" ref="R54">IF(Cdlac[[#This Row],[Quantity]]&gt;0,INDEX(HudFmrs,$P$18,Cdlac[[#This Row],[Bedrooms]]+1),"")</f>
        <v/>
      </c>
      <c r="S54" s="1060" t="str">
        <f>IF(Cdlac[[#This Row],[Quantity]]&gt;0,MAX(0,Cdlac[[#This Row],[Fair Market Rent]]-IF(AND($G$37,$G$38,$G$38&lt;&gt;"",NOT(Cdlac[[#This Row],[Federal]]),Cdlac[[#This Row],[Preservation Rent]]&lt;&gt;""),Cdlac[[#This Row],[Preservation Rent]],Cdlac[[#This Row],[Restricted Rent]])),"")</f>
        <v/>
      </c>
      <c r="T54" s="1039" t="str">
        <f>IF(Cdlac[[#This Row],[Quantity]]&gt;0,AND(Application!AK760&lt;&gt;"N/A",Application!AK760&lt;&gt;"")*Cdlac[[#This Row],[Quantity]],"")</f>
        <v/>
      </c>
      <c r="U54" s="1039" t="b">
        <f>AND('Subsidy Contract Calculation'!F38&gt;0,OR('Subsidy Contract Calculation'!C38="Federal",'Subsidy Contract Calculation'!C38="Local - Approved by ED"),Cdlac[[#This Row],[Quantity]]&gt;0)</f>
        <v>0</v>
      </c>
    </row>
    <row r="55" spans="2:21" ht="15" customHeight="1">
      <c r="E55" s="1111" t="s">
        <v>1917</v>
      </c>
      <c r="F55" s="1107" t="s">
        <v>1965</v>
      </c>
      <c r="G55" s="1118">
        <v>20000</v>
      </c>
      <c r="M55" s="1060"/>
      <c r="N55" s="1066"/>
      <c r="O55" s="1066"/>
      <c r="P55" s="1060"/>
      <c r="Q55" s="1157"/>
      <c r="R55" s="1060"/>
      <c r="S55" s="1060"/>
    </row>
    <row r="56" spans="2:21" ht="15" customHeight="1">
      <c r="E56" s="1112" t="s">
        <v>1949</v>
      </c>
      <c r="F56" s="1041"/>
      <c r="G56" s="1117">
        <f>G54*G55</f>
        <v>140000</v>
      </c>
    </row>
    <row r="57" spans="2:21" ht="15" customHeight="1"/>
    <row r="58" spans="2:21" ht="15" customHeight="1">
      <c r="B58" s="1061" t="str">
        <f>B11&amp;": "&amp;B13</f>
        <v>C. Population Benefit: (ii) Special Populations Benefit</v>
      </c>
      <c r="C58" s="1062"/>
      <c r="D58" s="1062"/>
      <c r="E58" s="1062"/>
      <c r="F58" s="1062"/>
      <c r="G58" s="1062"/>
      <c r="H58" s="1062"/>
      <c r="I58" s="1063"/>
    </row>
    <row r="59" spans="2:21" ht="15" customHeight="1"/>
    <row r="60" spans="2:21" ht="15" customHeight="1">
      <c r="E60" s="1111" t="s">
        <v>1966</v>
      </c>
      <c r="G60" s="1202">
        <f>T18</f>
        <v>0</v>
      </c>
    </row>
    <row r="61" spans="2:21" ht="15" customHeight="1">
      <c r="E61" s="1111" t="s">
        <v>1967</v>
      </c>
      <c r="G61" s="1108">
        <f>ROUNDDOWN(E29*50%,0)</f>
        <v>24</v>
      </c>
    </row>
    <row r="62" spans="2:21" ht="15" customHeight="1">
      <c r="E62" s="1111"/>
      <c r="G62" s="1119"/>
    </row>
    <row r="63" spans="2:21" ht="15" customHeight="1">
      <c r="E63" s="1111" t="s">
        <v>1927</v>
      </c>
      <c r="G63" s="1108">
        <f>MIN(G60:G61)</f>
        <v>0</v>
      </c>
    </row>
    <row r="64" spans="2:21" ht="15" customHeight="1">
      <c r="E64" s="1111" t="s">
        <v>1917</v>
      </c>
      <c r="F64" s="1107" t="s">
        <v>1965</v>
      </c>
      <c r="G64" s="1118">
        <v>10000</v>
      </c>
    </row>
    <row r="65" spans="5:7" ht="15" customHeight="1">
      <c r="E65" s="1112" t="s">
        <v>1950</v>
      </c>
      <c r="F65" s="1041"/>
      <c r="G65" s="1117">
        <f>G63*G64</f>
        <v>0</v>
      </c>
    </row>
    <row r="66" spans="5:7" ht="15" customHeight="1">
      <c r="E66" s="1112"/>
      <c r="F66" s="1041"/>
      <c r="G66" s="1117"/>
    </row>
    <row r="67" spans="5:7" ht="15" customHeight="1">
      <c r="E67" s="1079" t="s">
        <v>2572</v>
      </c>
      <c r="G67" s="1039" t="b">
        <f>Application!V227="Yes"</f>
        <v>0</v>
      </c>
    </row>
    <row r="68" spans="5:7" ht="15" customHeight="1">
      <c r="E68" s="1079" t="s">
        <v>2573</v>
      </c>
      <c r="G68" s="1202">
        <f>SUMIF(Application!AK726:AK760,"Homeless",Application!G726:G760)</f>
        <v>0</v>
      </c>
    </row>
    <row r="69" spans="5:7" ht="15" customHeight="1">
      <c r="E69" s="1079"/>
    </row>
    <row r="70" spans="5:7" ht="15" customHeight="1">
      <c r="E70" s="1079" t="s">
        <v>2574</v>
      </c>
      <c r="G70" s="1203"/>
    </row>
    <row r="71" spans="5:7" ht="15" customHeight="1">
      <c r="E71" s="1079" t="s">
        <v>2575</v>
      </c>
      <c r="G71" s="1203"/>
    </row>
    <row r="72" spans="5:7" ht="15" customHeight="1">
      <c r="E72" s="1079" t="s">
        <v>2576</v>
      </c>
      <c r="G72" s="1202">
        <f>IF(G71=0,0,(G70/G71)*100000)</f>
        <v>0</v>
      </c>
    </row>
    <row r="73" spans="5:7" ht="15" customHeight="1">
      <c r="E73" s="1079" t="s">
        <v>2577</v>
      </c>
      <c r="G73" s="1203"/>
    </row>
    <row r="74" spans="5:7" ht="15" customHeight="1">
      <c r="E74" s="1079" t="s">
        <v>2578</v>
      </c>
      <c r="G74" s="1203"/>
    </row>
    <row r="75" spans="5:7" ht="15" customHeight="1">
      <c r="E75" s="1079" t="s">
        <v>2579</v>
      </c>
      <c r="G75" s="1202">
        <f>IF(G74=0,0,(G73/G74)*100000)</f>
        <v>0</v>
      </c>
    </row>
    <row r="76" spans="5:7" ht="15" customHeight="1">
      <c r="E76" s="1112"/>
      <c r="F76" s="1041"/>
      <c r="G76" s="1117"/>
    </row>
    <row r="77" spans="5:7" ht="15" customHeight="1">
      <c r="E77" s="1111" t="s">
        <v>1927</v>
      </c>
      <c r="G77" s="1108">
        <f>IF(OR(G75&gt;G72,G71&lt;100000),G75*G68,G72*G68)</f>
        <v>0</v>
      </c>
    </row>
    <row r="78" spans="5:7" ht="15" customHeight="1">
      <c r="E78" s="1111" t="s">
        <v>1917</v>
      </c>
      <c r="F78" s="1107" t="s">
        <v>1965</v>
      </c>
      <c r="G78" s="1118">
        <v>100</v>
      </c>
    </row>
    <row r="79" spans="5:7" ht="15" customHeight="1">
      <c r="E79" s="1112" t="s">
        <v>1950</v>
      </c>
      <c r="F79" s="1041"/>
      <c r="G79" s="1117">
        <f>G77*G78</f>
        <v>0</v>
      </c>
    </row>
    <row r="80" spans="5:7" ht="15" customHeight="1">
      <c r="E80" s="1112"/>
      <c r="F80" s="1041"/>
      <c r="G80" s="1117"/>
    </row>
    <row r="81" spans="2:14" ht="15" customHeight="1">
      <c r="B81" s="1061" t="str">
        <f>B14&amp;": "&amp;B15</f>
        <v>D. Location Benefit: (i) Resource Area Benefit</v>
      </c>
      <c r="C81" s="1062"/>
      <c r="D81" s="1062"/>
      <c r="E81" s="1062"/>
      <c r="F81" s="1062"/>
      <c r="G81" s="1062"/>
      <c r="H81" s="1062"/>
      <c r="I81" s="1063"/>
    </row>
    <row r="82" spans="2:14" ht="15" customHeight="1" thickBot="1"/>
    <row r="83" spans="2:14" ht="15" customHeight="1">
      <c r="C83" s="1072" t="s">
        <v>1953</v>
      </c>
      <c r="G83" s="1038" t="s">
        <v>545</v>
      </c>
      <c r="L83" s="2672" t="s">
        <v>1942</v>
      </c>
      <c r="M83" s="2673"/>
      <c r="N83" s="1125">
        <v>30000</v>
      </c>
    </row>
    <row r="84" spans="2:14" ht="15" customHeight="1">
      <c r="C84" s="1072" t="s">
        <v>1954</v>
      </c>
      <c r="G84" s="1076" t="str">
        <f>IF(Application!D211="Large Family","Yes","No")</f>
        <v>No</v>
      </c>
      <c r="L84" s="2676" t="s">
        <v>1910</v>
      </c>
      <c r="M84" s="2677"/>
      <c r="N84" s="1126">
        <v>20000</v>
      </c>
    </row>
    <row r="85" spans="2:14" ht="15" customHeight="1" thickBot="1">
      <c r="C85" s="1072" t="s">
        <v>1940</v>
      </c>
      <c r="G85" s="1038"/>
      <c r="L85" s="2678" t="s">
        <v>1943</v>
      </c>
      <c r="M85" s="2679"/>
      <c r="N85" s="1127">
        <v>10000</v>
      </c>
    </row>
    <row r="86" spans="2:14" ht="15" customHeight="1" thickBot="1">
      <c r="C86" s="1072" t="s">
        <v>1941</v>
      </c>
      <c r="G86" s="1039" t="str">
        <f>Application!T193</f>
        <v>High Resource</v>
      </c>
    </row>
    <row r="87" spans="2:14" ht="15" customHeight="1">
      <c r="C87" s="2654" t="s">
        <v>2208</v>
      </c>
      <c r="D87" s="2654"/>
      <c r="E87" s="2654"/>
      <c r="F87" s="2654"/>
      <c r="G87" s="1038"/>
      <c r="L87" s="1121" t="str">
        <f>'Points System'!H651</f>
        <v>(ii)</v>
      </c>
      <c r="M87" s="2674" t="s">
        <v>1397</v>
      </c>
      <c r="N87" s="2675"/>
    </row>
    <row r="88" spans="2:14" ht="15" customHeight="1">
      <c r="C88" s="2654"/>
      <c r="D88" s="2654"/>
      <c r="E88" s="2654"/>
      <c r="F88" s="2654"/>
      <c r="L88" s="1122" t="str">
        <f>'Points System'!H663</f>
        <v>(ii)</v>
      </c>
      <c r="M88" s="2668" t="s">
        <v>1929</v>
      </c>
      <c r="N88" s="2669"/>
    </row>
    <row r="89" spans="2:14" ht="15" customHeight="1">
      <c r="C89" s="1072"/>
      <c r="L89" s="1122" t="str">
        <f>'Points System'!H698</f>
        <v>(ii)</v>
      </c>
      <c r="M89" s="2668" t="s">
        <v>1930</v>
      </c>
      <c r="N89" s="2669"/>
    </row>
    <row r="90" spans="2:14" ht="15" customHeight="1">
      <c r="E90" s="1079" t="s">
        <v>1972</v>
      </c>
      <c r="G90" s="1074" t="b">
        <f>OR(AND(COUNTIFS(G84:G85,"Yes")&gt;=1,G83="Yes"),G87="Yes")</f>
        <v>0</v>
      </c>
      <c r="L90" s="1122" t="str">
        <f>IF(OR('Points System'!H722="(ii)",'Points System'!H722="(i)"),"(i)","N/A")</f>
        <v>N/A</v>
      </c>
      <c r="M90" s="2668" t="s">
        <v>1931</v>
      </c>
      <c r="N90" s="2669"/>
    </row>
    <row r="91" spans="2:14" ht="15" customHeight="1">
      <c r="E91" s="1079"/>
      <c r="G91" s="1074"/>
      <c r="L91" s="1123" t="str">
        <f>'Points System'!H736</f>
        <v>N/A</v>
      </c>
      <c r="M91" s="2668" t="s">
        <v>1423</v>
      </c>
      <c r="N91" s="2669"/>
    </row>
    <row r="92" spans="2:14" ht="15" customHeight="1">
      <c r="E92" s="1079" t="s">
        <v>1917</v>
      </c>
      <c r="G92" s="1073">
        <f>IFERROR(IF($G$87="Yes",30000,INDEX(N83:N85,MATCH(LEFT(G86,17),L83:L85,0))),0)</f>
        <v>20000</v>
      </c>
      <c r="L92" s="1122" t="str">
        <f>'Points System'!H748</f>
        <v>N/A</v>
      </c>
      <c r="M92" s="2668" t="s">
        <v>1932</v>
      </c>
      <c r="N92" s="2669"/>
    </row>
    <row r="93" spans="2:14" ht="15" customHeight="1">
      <c r="E93" s="1079" t="str">
        <f>E110</f>
        <v>Bedroom-Adjusted Low-Income Units</v>
      </c>
      <c r="F93" s="1107" t="s">
        <v>1965</v>
      </c>
      <c r="G93" s="1108">
        <f>G29</f>
        <v>49.65</v>
      </c>
      <c r="L93" s="1122" t="str">
        <f>'Points System'!H764</f>
        <v>N/A</v>
      </c>
      <c r="M93" s="2668" t="s">
        <v>1933</v>
      </c>
      <c r="N93" s="2669"/>
    </row>
    <row r="94" spans="2:14" ht="15" customHeight="1" thickBot="1">
      <c r="D94" s="1041"/>
      <c r="E94" s="1112" t="s">
        <v>2211</v>
      </c>
      <c r="F94" s="1041"/>
      <c r="G94" s="1117">
        <f>G93*G92*G90</f>
        <v>0</v>
      </c>
      <c r="L94" s="1124" t="str">
        <f>'Points System'!H776</f>
        <v>(i)</v>
      </c>
      <c r="M94" s="2670" t="s">
        <v>1426</v>
      </c>
      <c r="N94" s="2671"/>
    </row>
    <row r="95" spans="2:14" ht="15" customHeight="1"/>
    <row r="96" spans="2:14" ht="15" customHeight="1">
      <c r="B96" s="1061" t="str">
        <f>B14&amp;": "&amp;B16</f>
        <v>D. Location Benefit: (ii) Community Revitalization Benefit</v>
      </c>
      <c r="C96" s="1062"/>
      <c r="D96" s="1062"/>
      <c r="E96" s="1062"/>
      <c r="F96" s="1062"/>
      <c r="G96" s="1062"/>
      <c r="H96" s="1062"/>
      <c r="I96" s="1063"/>
    </row>
    <row r="97" spans="2:9" ht="15" customHeight="1"/>
    <row r="98" spans="2:9" ht="15" customHeight="1">
      <c r="F98" s="1110" t="s">
        <v>1948</v>
      </c>
      <c r="G98" s="1038"/>
    </row>
    <row r="99" spans="2:9" ht="15" customHeight="1">
      <c r="F99" s="1110"/>
    </row>
    <row r="100" spans="2:9" ht="15" customHeight="1">
      <c r="E100" s="1079" t="s">
        <v>1972</v>
      </c>
      <c r="G100" s="1074" t="b">
        <f>G98="Yes"</f>
        <v>0</v>
      </c>
    </row>
    <row r="101" spans="2:9" ht="15" customHeight="1"/>
    <row r="102" spans="2:9" ht="15" customHeight="1">
      <c r="E102" s="1079" t="str">
        <f>E110</f>
        <v>Bedroom-Adjusted Low-Income Units</v>
      </c>
      <c r="G102" s="1108">
        <f>G29</f>
        <v>49.65</v>
      </c>
    </row>
    <row r="103" spans="2:9" ht="15" customHeight="1">
      <c r="E103" s="1079" t="s">
        <v>1917</v>
      </c>
      <c r="F103" s="1107" t="s">
        <v>1965</v>
      </c>
      <c r="G103" s="1045">
        <v>20000</v>
      </c>
    </row>
    <row r="104" spans="2:9" ht="15" customHeight="1">
      <c r="E104" s="1112" t="s">
        <v>2212</v>
      </c>
      <c r="F104" s="1041"/>
      <c r="G104" s="1117">
        <f>G100*G103*G102</f>
        <v>0</v>
      </c>
    </row>
    <row r="105" spans="2:9" ht="15" customHeight="1"/>
    <row r="106" spans="2:9" ht="15" customHeight="1">
      <c r="B106" s="1061" t="str">
        <f>B14&amp;": "&amp;B17</f>
        <v>D. Location Benefit: (iii) Transit/Walkability Benefit</v>
      </c>
      <c r="C106" s="1062"/>
      <c r="D106" s="1062"/>
      <c r="E106" s="1062"/>
      <c r="F106" s="1062"/>
      <c r="G106" s="1062"/>
      <c r="H106" s="1062"/>
      <c r="I106" s="1063"/>
    </row>
    <row r="107" spans="2:9" ht="15" customHeight="1"/>
    <row r="108" spans="2:9" ht="15" customHeight="1">
      <c r="E108" s="1079" t="s">
        <v>1928</v>
      </c>
      <c r="G108" s="1108">
        <f>VLOOKUP('Points System'!$H$619,'Points System'!$AO$599:$AP$604,2,FALSE)</f>
        <v>4</v>
      </c>
    </row>
    <row r="109" spans="2:9" ht="15" customHeight="1">
      <c r="E109" s="1079" t="s">
        <v>1917</v>
      </c>
      <c r="F109" s="1107" t="s">
        <v>1965</v>
      </c>
      <c r="G109" s="1071">
        <v>4000</v>
      </c>
    </row>
    <row r="110" spans="2:9" ht="15" customHeight="1">
      <c r="E110" s="1079" t="s">
        <v>1969</v>
      </c>
      <c r="F110" s="1107" t="s">
        <v>1965</v>
      </c>
      <c r="G110" s="1120">
        <f>G29</f>
        <v>49.65</v>
      </c>
    </row>
    <row r="111" spans="2:9" ht="15" customHeight="1">
      <c r="E111" s="1112" t="s">
        <v>1934</v>
      </c>
      <c r="F111" s="1041"/>
      <c r="G111" s="1117">
        <f>G108*G109*G110</f>
        <v>794400</v>
      </c>
    </row>
    <row r="112" spans="2:9" ht="15" customHeight="1">
      <c r="C112" s="1072"/>
      <c r="G112" s="1108"/>
    </row>
    <row r="113" spans="2:7" ht="15" customHeight="1">
      <c r="E113" s="1079" t="s">
        <v>1970</v>
      </c>
      <c r="G113" s="1108">
        <f>COUNTIFS(L87:L94,"(i)")</f>
        <v>1</v>
      </c>
    </row>
    <row r="114" spans="2:7" ht="15" customHeight="1">
      <c r="E114" s="1079" t="s">
        <v>1917</v>
      </c>
      <c r="F114" s="1107" t="s">
        <v>1965</v>
      </c>
      <c r="G114" s="1118">
        <v>4000</v>
      </c>
    </row>
    <row r="115" spans="2:7" ht="15" customHeight="1">
      <c r="E115" s="1112" t="s">
        <v>1935</v>
      </c>
      <c r="F115" s="1041"/>
      <c r="G115" s="1117">
        <f>G110*G113*G114</f>
        <v>198600</v>
      </c>
    </row>
    <row r="116" spans="2:7" ht="15" customHeight="1"/>
    <row r="117" spans="2:7" ht="15" customHeight="1">
      <c r="C117" s="1075" t="s">
        <v>1937</v>
      </c>
    </row>
    <row r="118" spans="2:7" ht="15" customHeight="1">
      <c r="C118" s="1072" t="s">
        <v>1938</v>
      </c>
      <c r="G118" s="1038"/>
    </row>
    <row r="119" spans="2:7" ht="15" customHeight="1">
      <c r="C119" s="1072" t="s">
        <v>1939</v>
      </c>
      <c r="G119" s="1038"/>
    </row>
    <row r="120" spans="2:7" ht="15" customHeight="1">
      <c r="C120" s="1072" t="s">
        <v>2094</v>
      </c>
      <c r="G120" s="1038"/>
    </row>
    <row r="121" spans="2:7">
      <c r="C121" s="1072" t="s">
        <v>2095</v>
      </c>
      <c r="G121" s="1038"/>
    </row>
    <row r="123" spans="2:7">
      <c r="B123" s="1073"/>
      <c r="C123" s="1072"/>
      <c r="E123" s="1079" t="s">
        <v>1972</v>
      </c>
      <c r="G123" s="1074" t="b">
        <f>COUNTIFS(G118:G121,"Yes")&gt;=1</f>
        <v>0</v>
      </c>
    </row>
    <row r="124" spans="2:7">
      <c r="E124" s="1072"/>
    </row>
    <row r="125" spans="2:7" ht="15">
      <c r="E125" s="1079" t="s">
        <v>1969</v>
      </c>
      <c r="F125" s="1107" t="s">
        <v>1965</v>
      </c>
      <c r="G125" s="1108">
        <f>G29</f>
        <v>49.65</v>
      </c>
    </row>
    <row r="126" spans="2:7" ht="15">
      <c r="E126" s="1079" t="s">
        <v>1917</v>
      </c>
      <c r="F126" s="1107" t="s">
        <v>1965</v>
      </c>
      <c r="G126" s="1118">
        <v>25000</v>
      </c>
    </row>
    <row r="127" spans="2:7" ht="15">
      <c r="E127" s="1112" t="s">
        <v>1936</v>
      </c>
      <c r="F127" s="1041"/>
      <c r="G127" s="1117">
        <f>G123*G126*G110</f>
        <v>0</v>
      </c>
    </row>
    <row r="128" spans="2:7">
      <c r="C128" s="1072"/>
      <c r="E128" s="1072"/>
    </row>
    <row r="129" spans="2:9" ht="15">
      <c r="E129" s="1112" t="s">
        <v>2213</v>
      </c>
      <c r="G129" s="1117">
        <f>G127+G115+G111</f>
        <v>993000</v>
      </c>
    </row>
    <row r="131" spans="2:9" ht="15">
      <c r="B131" s="1061" t="s">
        <v>139</v>
      </c>
      <c r="C131" s="1062"/>
      <c r="D131" s="1062"/>
      <c r="E131" s="1062"/>
      <c r="F131" s="1062"/>
      <c r="G131" s="1062"/>
      <c r="H131" s="1062"/>
      <c r="I131" s="1063"/>
    </row>
    <row r="133" spans="2:9">
      <c r="C133" s="2650" t="s">
        <v>2180</v>
      </c>
      <c r="D133" s="2650"/>
      <c r="E133" s="2650"/>
      <c r="F133" s="2650"/>
    </row>
    <row r="134" spans="2:9">
      <c r="C134" s="2650"/>
      <c r="D134" s="2650"/>
      <c r="E134" s="2650"/>
      <c r="F134" s="2650"/>
      <c r="G134" s="1038"/>
    </row>
    <row r="135" spans="2:9" ht="14.25" customHeight="1"/>
    <row r="136" spans="2:9">
      <c r="C136" s="1039" t="s">
        <v>2182</v>
      </c>
      <c r="G136" s="2652"/>
      <c r="H136" s="2652"/>
    </row>
    <row r="137" spans="2:9">
      <c r="G137" s="2652"/>
      <c r="H137" s="2652"/>
    </row>
    <row r="138" spans="2:9">
      <c r="G138" s="2653"/>
      <c r="H138" s="2653"/>
    </row>
    <row r="140" spans="2:9">
      <c r="C140" s="2650" t="s">
        <v>2587</v>
      </c>
      <c r="D140" s="2650"/>
      <c r="E140" s="2650"/>
      <c r="F140" s="2650"/>
    </row>
    <row r="141" spans="2:9">
      <c r="C141" s="2650"/>
      <c r="D141" s="2650"/>
      <c r="E141" s="2650"/>
      <c r="F141" s="2650"/>
      <c r="G141" s="1038"/>
    </row>
    <row r="142" spans="2:9">
      <c r="C142" s="2650"/>
      <c r="D142" s="2650"/>
      <c r="E142" s="2650"/>
      <c r="F142" s="2650"/>
    </row>
    <row r="144" spans="2:9">
      <c r="C144" s="2650" t="s">
        <v>2586</v>
      </c>
      <c r="D144" s="2650"/>
      <c r="E144" s="2650"/>
      <c r="F144" s="2650"/>
    </row>
    <row r="145" spans="2:9">
      <c r="C145" s="2650"/>
      <c r="D145" s="2650"/>
      <c r="E145" s="2650"/>
      <c r="F145" s="2650"/>
      <c r="G145" s="1038"/>
    </row>
    <row r="146" spans="2:9">
      <c r="C146" s="2650"/>
      <c r="D146" s="2650"/>
      <c r="E146" s="2650"/>
      <c r="F146" s="2650"/>
    </row>
    <row r="147" spans="2:9">
      <c r="C147" s="2650"/>
      <c r="D147" s="2650"/>
      <c r="E147" s="2650"/>
      <c r="F147" s="2650"/>
    </row>
    <row r="149" spans="2:9" ht="15">
      <c r="B149" s="1061" t="s">
        <v>1974</v>
      </c>
      <c r="C149" s="1062"/>
      <c r="D149" s="1062"/>
      <c r="E149" s="1062"/>
      <c r="F149" s="1062"/>
      <c r="G149" s="1062"/>
      <c r="H149" s="1062"/>
      <c r="I149" s="1063"/>
    </row>
    <row r="151" spans="2:9">
      <c r="E151" s="1079" t="s">
        <v>582</v>
      </c>
      <c r="G151" s="1039" t="str">
        <f>IF(Application!T189="","",Application!T189)</f>
        <v>Contra Costa</v>
      </c>
    </row>
    <row r="152" spans="2:9">
      <c r="E152" s="1079"/>
      <c r="G152" s="1073"/>
    </row>
    <row r="153" spans="2:9">
      <c r="E153" s="1079" t="str">
        <f>"2-Bedroom "&amp;G151&amp;" County Basis Limit"</f>
        <v>2-Bedroom Contra Costa County Basis Limit</v>
      </c>
      <c r="G153" s="1073">
        <f>Application!R997</f>
        <v>683200</v>
      </c>
    </row>
    <row r="154" spans="2:9">
      <c r="E154" s="1079" t="s">
        <v>1973</v>
      </c>
      <c r="G154" s="1073">
        <f>MEDIAN((Application!CU160:CU217))</f>
        <v>560000</v>
      </c>
    </row>
    <row r="155" spans="2:9" ht="15">
      <c r="D155" s="1041"/>
      <c r="E155" s="1112" t="s">
        <v>1975</v>
      </c>
      <c r="F155" s="1128"/>
      <c r="G155" s="1129">
        <f>((G153-G154)/G154)*0.25</f>
        <v>5.5E-2</v>
      </c>
      <c r="H155" s="1037"/>
      <c r="I155" s="1037"/>
    </row>
    <row r="156" spans="2:9">
      <c r="D156" s="1040"/>
      <c r="E156" s="1040"/>
    </row>
    <row r="157" spans="2:9" ht="15">
      <c r="B157" s="1061" t="s">
        <v>2214</v>
      </c>
      <c r="C157" s="1062"/>
      <c r="D157" s="1062"/>
      <c r="E157" s="1062"/>
      <c r="F157" s="1062"/>
      <c r="G157" s="1062"/>
      <c r="H157" s="1062"/>
      <c r="I157" s="1063"/>
    </row>
    <row r="159" spans="2:9">
      <c r="E159" s="1079" t="s">
        <v>2567</v>
      </c>
      <c r="G159" s="1039" t="b">
        <f>G37</f>
        <v>0</v>
      </c>
    </row>
    <row r="160" spans="2:9">
      <c r="C160" s="2645" t="s">
        <v>2215</v>
      </c>
      <c r="D160" s="2645"/>
      <c r="E160" s="2645"/>
      <c r="F160" s="2645"/>
    </row>
    <row r="161" spans="2:7">
      <c r="B161" s="1040"/>
      <c r="C161" s="2645"/>
      <c r="D161" s="2645"/>
      <c r="E161" s="2645"/>
      <c r="F161" s="2645"/>
      <c r="G161" s="1038"/>
    </row>
    <row r="162" spans="2:7">
      <c r="B162" s="1040"/>
      <c r="C162" s="1040"/>
      <c r="D162" s="1040"/>
      <c r="E162" s="1040"/>
      <c r="F162" s="1040"/>
    </row>
    <row r="163" spans="2:7">
      <c r="E163" s="1079" t="s">
        <v>2217</v>
      </c>
      <c r="G163" s="1162"/>
    </row>
    <row r="165" spans="2:7">
      <c r="E165" s="1079" t="s">
        <v>2219</v>
      </c>
      <c r="G165" s="1161">
        <f>IF(I9=0,0,G163/I9)</f>
        <v>0</v>
      </c>
    </row>
    <row r="166" spans="2:7">
      <c r="E166" s="1079" t="s">
        <v>2216</v>
      </c>
      <c r="G166" s="1159">
        <f>I9*0.15</f>
        <v>1461090.9</v>
      </c>
    </row>
  </sheetData>
  <sheetProtection algorithmName="SHA-512" hashValue="xmpeN+ZrMcaXte7H5pYuUTyidPlD9l3j9lMNz4qPZjSd1FZh3kYAB5a37acK3uh0L9AgH1+IHTuf8DKoaRj2kQ==" saltValue="0Dpc3+xrQJiAd8x5O7baPA==" spinCount="100000" sheet="1" objects="1" scenarios="1"/>
  <mergeCells count="44">
    <mergeCell ref="M91:N91"/>
    <mergeCell ref="M92:N92"/>
    <mergeCell ref="M93:N93"/>
    <mergeCell ref="M94:N94"/>
    <mergeCell ref="G22:G23"/>
    <mergeCell ref="L83:M83"/>
    <mergeCell ref="M87:N87"/>
    <mergeCell ref="M88:N88"/>
    <mergeCell ref="M89:N89"/>
    <mergeCell ref="M90:N90"/>
    <mergeCell ref="L84:M84"/>
    <mergeCell ref="L85:M85"/>
    <mergeCell ref="G17:H17"/>
    <mergeCell ref="B18:D18"/>
    <mergeCell ref="G9:H9"/>
    <mergeCell ref="G10:H10"/>
    <mergeCell ref="A1:J1"/>
    <mergeCell ref="B9:D9"/>
    <mergeCell ref="B10:D10"/>
    <mergeCell ref="B13:D13"/>
    <mergeCell ref="B12:D12"/>
    <mergeCell ref="B8:E8"/>
    <mergeCell ref="G8:I8"/>
    <mergeCell ref="G11:H11"/>
    <mergeCell ref="G14:H14"/>
    <mergeCell ref="B11:D11"/>
    <mergeCell ref="B14:D14"/>
    <mergeCell ref="B15:D15"/>
    <mergeCell ref="B16:D16"/>
    <mergeCell ref="B17:D17"/>
    <mergeCell ref="G13:I13"/>
    <mergeCell ref="C160:F161"/>
    <mergeCell ref="C22:C23"/>
    <mergeCell ref="D22:D23"/>
    <mergeCell ref="F22:F23"/>
    <mergeCell ref="E22:E23"/>
    <mergeCell ref="C29:D29"/>
    <mergeCell ref="C133:F134"/>
    <mergeCell ref="C39:H41"/>
    <mergeCell ref="G136:H138"/>
    <mergeCell ref="C140:F142"/>
    <mergeCell ref="C144:F147"/>
    <mergeCell ref="C87:F88"/>
    <mergeCell ref="G16:H16"/>
  </mergeCells>
  <phoneticPr fontId="26" type="noConversion"/>
  <conditionalFormatting sqref="C67:G79">
    <cfRule type="expression" dxfId="5" priority="1">
      <formula>NOT($G$67)</formula>
    </cfRule>
  </conditionalFormatting>
  <conditionalFormatting sqref="G38">
    <cfRule type="expression" dxfId="4" priority="2">
      <formula>NOT($G$37)</formula>
    </cfRule>
  </conditionalFormatting>
  <conditionalFormatting sqref="L20:U54">
    <cfRule type="expression" dxfId="3" priority="5">
      <formula>$M20=0</formula>
    </cfRule>
  </conditionalFormatting>
  <conditionalFormatting sqref="Q20:Q54">
    <cfRule type="expression" dxfId="2" priority="3">
      <formula>NOT($G$37)</formula>
    </cfRule>
    <cfRule type="expression" dxfId="1" priority="4">
      <formula>AND($G$37,$G$38,$G$38&lt;&gt;"")</formula>
    </cfRule>
  </conditionalFormatting>
  <conditionalFormatting sqref="U20:U54">
    <cfRule type="cellIs" dxfId="0" priority="6" operator="equal">
      <formula>FALSE</formula>
    </cfRule>
  </conditionalFormatting>
  <dataValidations count="3">
    <dataValidation type="list" allowBlank="1" showInputMessage="1" showErrorMessage="1" sqref="G118:G121 G134 G161 G141 G145" xr:uid="{C672C681-76A7-4CD8-8FBF-57FD42155450}">
      <formula1>"Yes"</formula1>
    </dataValidation>
    <dataValidation type="list" allowBlank="1" showInputMessage="1" showErrorMessage="1" sqref="G85 G83 G98 G87"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105"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workbookViewId="0">
      <selection activeCell="C4" sqref="C4"/>
    </sheetView>
  </sheetViews>
  <sheetFormatPr defaultColWidth="9.140625" defaultRowHeight="14.25" zeroHeight="1"/>
  <cols>
    <col min="1" max="2" width="15.7109375" style="304" customWidth="1"/>
    <col min="3" max="3" width="11" style="304" customWidth="1"/>
    <col min="4" max="4" width="15.7109375" style="304" customWidth="1"/>
    <col min="5" max="5" width="3.7109375" style="304" customWidth="1"/>
    <col min="6" max="7" width="15.7109375" style="304" customWidth="1"/>
    <col min="8" max="8" width="3.7109375" style="304" customWidth="1"/>
    <col min="9" max="10" width="15.7109375" style="304" customWidth="1"/>
    <col min="11" max="11" width="3.28515625" style="304" customWidth="1"/>
    <col min="12" max="17" width="15.7109375" style="304" customWidth="1"/>
    <col min="18" max="16384" width="9.140625" style="304"/>
  </cols>
  <sheetData>
    <row r="1" spans="1:12">
      <c r="A1" s="2680" t="s">
        <v>909</v>
      </c>
      <c r="B1" s="2680"/>
      <c r="C1" s="2680"/>
      <c r="D1" s="2680"/>
      <c r="E1" s="2680"/>
      <c r="F1" s="2680"/>
      <c r="G1" s="2680"/>
      <c r="H1" s="2680"/>
      <c r="I1" s="2680"/>
      <c r="J1" s="2680"/>
      <c r="K1" s="204"/>
      <c r="L1" s="204"/>
    </row>
    <row r="2" spans="1:12">
      <c r="A2" s="210"/>
      <c r="B2" s="210"/>
      <c r="C2" s="210"/>
      <c r="D2" s="210"/>
      <c r="E2" s="210"/>
      <c r="F2" s="210"/>
      <c r="G2" s="210"/>
      <c r="H2" s="210"/>
      <c r="I2" s="210"/>
      <c r="J2" s="210"/>
    </row>
    <row r="3" spans="1:12" ht="100.5">
      <c r="A3" s="426" t="s">
        <v>910</v>
      </c>
      <c r="B3" s="426" t="s">
        <v>2201</v>
      </c>
      <c r="C3" s="426" t="s">
        <v>2202</v>
      </c>
      <c r="D3" s="1140" t="s">
        <v>2203</v>
      </c>
      <c r="E3" s="204"/>
      <c r="F3" s="1140" t="s">
        <v>911</v>
      </c>
      <c r="G3" s="426" t="s">
        <v>912</v>
      </c>
      <c r="H3" s="427"/>
      <c r="I3" s="426" t="s">
        <v>913</v>
      </c>
      <c r="J3" s="426" t="s">
        <v>914</v>
      </c>
      <c r="K3" s="204"/>
      <c r="L3" s="305"/>
    </row>
    <row r="4" spans="1:12">
      <c r="A4" s="428" t="str">
        <f>Application!B726</f>
        <v>SRO/Studio</v>
      </c>
      <c r="B4" s="1077">
        <f>Application!G726</f>
        <v>1</v>
      </c>
      <c r="C4" s="1155"/>
      <c r="D4" s="428">
        <f>Application!O726</f>
        <v>826</v>
      </c>
      <c r="E4" s="429"/>
      <c r="F4" s="1078"/>
      <c r="G4" s="428">
        <f>F4*B4</f>
        <v>0</v>
      </c>
      <c r="H4" s="429"/>
      <c r="I4" s="428" t="str">
        <f t="shared" ref="I4:I27" si="0">IF(F4=0,"",(F4-D4))</f>
        <v/>
      </c>
      <c r="J4" s="428" t="str">
        <f t="shared" ref="J4:J27" si="1">IF(F4=0,"",(I4*B4))</f>
        <v/>
      </c>
      <c r="K4" s="204"/>
      <c r="L4" s="305"/>
    </row>
    <row r="5" spans="1:12">
      <c r="A5" s="428" t="str">
        <f>Application!B727</f>
        <v>1 Bedroom</v>
      </c>
      <c r="B5" s="1077">
        <f>Application!G727</f>
        <v>5</v>
      </c>
      <c r="C5" s="1155"/>
      <c r="D5" s="428">
        <f>Application!O727</f>
        <v>886</v>
      </c>
      <c r="E5" s="429"/>
      <c r="F5" s="1078"/>
      <c r="G5" s="428">
        <f t="shared" ref="G5:G38" si="2">F5*B5</f>
        <v>0</v>
      </c>
      <c r="H5" s="429"/>
      <c r="I5" s="428" t="str">
        <f t="shared" si="0"/>
        <v/>
      </c>
      <c r="J5" s="428" t="str">
        <f t="shared" si="1"/>
        <v/>
      </c>
      <c r="K5" s="204"/>
      <c r="L5" s="305"/>
    </row>
    <row r="6" spans="1:12">
      <c r="A6" s="428" t="str">
        <f>Application!B728</f>
        <v>1 Bedroom</v>
      </c>
      <c r="B6" s="1077">
        <f>Application!G728</f>
        <v>4</v>
      </c>
      <c r="C6" s="1155"/>
      <c r="D6" s="428">
        <f>Application!O728</f>
        <v>1186</v>
      </c>
      <c r="E6" s="429"/>
      <c r="F6" s="1078"/>
      <c r="G6" s="428">
        <f t="shared" si="2"/>
        <v>0</v>
      </c>
      <c r="H6" s="429"/>
      <c r="I6" s="428" t="str">
        <f t="shared" si="0"/>
        <v/>
      </c>
      <c r="J6" s="428" t="str">
        <f t="shared" si="1"/>
        <v/>
      </c>
      <c r="K6" s="204"/>
      <c r="L6" s="305"/>
    </row>
    <row r="7" spans="1:12">
      <c r="A7" s="428" t="str">
        <f>Application!B729</f>
        <v>1 Bedroom</v>
      </c>
      <c r="B7" s="1077">
        <f>Application!G729</f>
        <v>5</v>
      </c>
      <c r="C7" s="1155"/>
      <c r="D7" s="428">
        <f>Application!O729</f>
        <v>1485</v>
      </c>
      <c r="E7" s="429"/>
      <c r="F7" s="1078"/>
      <c r="G7" s="428">
        <f t="shared" si="2"/>
        <v>0</v>
      </c>
      <c r="H7" s="429"/>
      <c r="I7" s="428" t="str">
        <f t="shared" si="0"/>
        <v/>
      </c>
      <c r="J7" s="428" t="str">
        <f t="shared" si="1"/>
        <v/>
      </c>
      <c r="K7" s="204"/>
      <c r="L7" s="305"/>
    </row>
    <row r="8" spans="1:12">
      <c r="A8" s="428" t="str">
        <f>Application!B730</f>
        <v>1 Bedroom</v>
      </c>
      <c r="B8" s="1077">
        <f>Application!G730</f>
        <v>10</v>
      </c>
      <c r="C8" s="1155"/>
      <c r="D8" s="428">
        <f>Application!O730</f>
        <v>1785</v>
      </c>
      <c r="E8" s="429"/>
      <c r="F8" s="1078"/>
      <c r="G8" s="428">
        <f t="shared" si="2"/>
        <v>0</v>
      </c>
      <c r="H8" s="429"/>
      <c r="I8" s="428" t="str">
        <f t="shared" si="0"/>
        <v/>
      </c>
      <c r="J8" s="428" t="str">
        <f t="shared" si="1"/>
        <v/>
      </c>
      <c r="K8" s="204"/>
      <c r="L8" s="305"/>
    </row>
    <row r="9" spans="1:12">
      <c r="A9" s="428" t="str">
        <f>Application!B731</f>
        <v>1 Bedroom</v>
      </c>
      <c r="B9" s="1077">
        <f>Application!G731</f>
        <v>16</v>
      </c>
      <c r="C9" s="1155"/>
      <c r="D9" s="428">
        <f>Application!O731</f>
        <v>2107</v>
      </c>
      <c r="E9" s="429"/>
      <c r="F9" s="1078"/>
      <c r="G9" s="428">
        <f t="shared" si="2"/>
        <v>0</v>
      </c>
      <c r="H9" s="429"/>
      <c r="I9" s="428" t="str">
        <f t="shared" si="0"/>
        <v/>
      </c>
      <c r="J9" s="428" t="str">
        <f t="shared" si="1"/>
        <v/>
      </c>
      <c r="K9" s="204"/>
      <c r="L9" s="305"/>
    </row>
    <row r="10" spans="1:12">
      <c r="A10" s="428" t="str">
        <f>Application!B732</f>
        <v>2 Bedrooms</v>
      </c>
      <c r="B10" s="1077">
        <f>Application!G732</f>
        <v>1</v>
      </c>
      <c r="C10" s="1155"/>
      <c r="D10" s="428">
        <f>Application!O732</f>
        <v>1066</v>
      </c>
      <c r="E10" s="429"/>
      <c r="F10" s="1078"/>
      <c r="G10" s="428">
        <f t="shared" si="2"/>
        <v>0</v>
      </c>
      <c r="H10" s="429"/>
      <c r="I10" s="428" t="str">
        <f t="shared" si="0"/>
        <v/>
      </c>
      <c r="J10" s="428" t="str">
        <f t="shared" si="1"/>
        <v/>
      </c>
      <c r="K10" s="204"/>
      <c r="L10" s="305"/>
    </row>
    <row r="11" spans="1:12">
      <c r="A11" s="428" t="str">
        <f>Application!B733</f>
        <v>2 Bedrooms</v>
      </c>
      <c r="B11" s="1077">
        <f>Application!G733</f>
        <v>1</v>
      </c>
      <c r="C11" s="1155"/>
      <c r="D11" s="428">
        <f>Application!O733</f>
        <v>1785</v>
      </c>
      <c r="E11" s="429"/>
      <c r="F11" s="1078"/>
      <c r="G11" s="428">
        <f t="shared" si="2"/>
        <v>0</v>
      </c>
      <c r="H11" s="429"/>
      <c r="I11" s="428" t="str">
        <f t="shared" si="0"/>
        <v/>
      </c>
      <c r="J11" s="428" t="str">
        <f t="shared" si="1"/>
        <v/>
      </c>
      <c r="K11" s="204"/>
      <c r="L11" s="305"/>
    </row>
    <row r="12" spans="1:12">
      <c r="A12" s="428" t="str">
        <f>Application!B734</f>
        <v>2 Bedrooms</v>
      </c>
      <c r="B12" s="1077">
        <f>Application!G734</f>
        <v>5</v>
      </c>
      <c r="C12" s="1155"/>
      <c r="D12" s="428">
        <f>Application!O734</f>
        <v>2145</v>
      </c>
      <c r="E12" s="429"/>
      <c r="F12" s="1078"/>
      <c r="G12" s="428">
        <f t="shared" si="2"/>
        <v>0</v>
      </c>
      <c r="H12" s="429"/>
      <c r="I12" s="428" t="str">
        <f t="shared" si="0"/>
        <v/>
      </c>
      <c r="J12" s="428" t="str">
        <f t="shared" si="1"/>
        <v/>
      </c>
      <c r="K12" s="204"/>
      <c r="L12" s="305"/>
    </row>
    <row r="13" spans="1:12">
      <c r="A13" s="428">
        <f>Application!B735</f>
        <v>0</v>
      </c>
      <c r="B13" s="1077">
        <f>Application!G735</f>
        <v>0</v>
      </c>
      <c r="C13" s="1155"/>
      <c r="D13" s="428">
        <f>Application!O735</f>
        <v>0</v>
      </c>
      <c r="E13" s="429"/>
      <c r="F13" s="1078"/>
      <c r="G13" s="428">
        <f t="shared" si="2"/>
        <v>0</v>
      </c>
      <c r="H13" s="429"/>
      <c r="I13" s="428" t="str">
        <f t="shared" si="0"/>
        <v/>
      </c>
      <c r="J13" s="428" t="str">
        <f t="shared" si="1"/>
        <v/>
      </c>
      <c r="K13" s="204"/>
      <c r="L13" s="305"/>
    </row>
    <row r="14" spans="1:12">
      <c r="A14" s="428">
        <f>Application!B736</f>
        <v>0</v>
      </c>
      <c r="B14" s="1077">
        <f>Application!G736</f>
        <v>0</v>
      </c>
      <c r="C14" s="1155"/>
      <c r="D14" s="428">
        <f>Application!O736</f>
        <v>0</v>
      </c>
      <c r="E14" s="429"/>
      <c r="F14" s="1078"/>
      <c r="G14" s="428">
        <f t="shared" si="2"/>
        <v>0</v>
      </c>
      <c r="H14" s="429"/>
      <c r="I14" s="428" t="str">
        <f t="shared" si="0"/>
        <v/>
      </c>
      <c r="J14" s="428" t="str">
        <f t="shared" si="1"/>
        <v/>
      </c>
      <c r="K14" s="204"/>
      <c r="L14" s="305"/>
    </row>
    <row r="15" spans="1:12">
      <c r="A15" s="428">
        <f>Application!B737</f>
        <v>0</v>
      </c>
      <c r="B15" s="1077">
        <f>Application!G737</f>
        <v>0</v>
      </c>
      <c r="C15" s="1155"/>
      <c r="D15" s="428">
        <f>Application!O737</f>
        <v>0</v>
      </c>
      <c r="E15" s="429"/>
      <c r="F15" s="1078"/>
      <c r="G15" s="428">
        <f t="shared" si="2"/>
        <v>0</v>
      </c>
      <c r="H15" s="429"/>
      <c r="I15" s="428" t="str">
        <f t="shared" si="0"/>
        <v/>
      </c>
      <c r="J15" s="428" t="str">
        <f t="shared" si="1"/>
        <v/>
      </c>
      <c r="K15" s="204"/>
      <c r="L15" s="305"/>
    </row>
    <row r="16" spans="1:12">
      <c r="A16" s="428">
        <f>Application!B738</f>
        <v>0</v>
      </c>
      <c r="B16" s="1077">
        <f>Application!G738</f>
        <v>0</v>
      </c>
      <c r="C16" s="1155"/>
      <c r="D16" s="428">
        <f>Application!O738</f>
        <v>0</v>
      </c>
      <c r="E16" s="429"/>
      <c r="F16" s="1078"/>
      <c r="G16" s="428">
        <f t="shared" si="2"/>
        <v>0</v>
      </c>
      <c r="H16" s="429"/>
      <c r="I16" s="428" t="str">
        <f t="shared" si="0"/>
        <v/>
      </c>
      <c r="J16" s="428" t="str">
        <f t="shared" si="1"/>
        <v/>
      </c>
      <c r="K16" s="204"/>
      <c r="L16" s="305"/>
    </row>
    <row r="17" spans="1:12">
      <c r="A17" s="428">
        <f>Application!B739</f>
        <v>0</v>
      </c>
      <c r="B17" s="1077">
        <f>Application!G739</f>
        <v>0</v>
      </c>
      <c r="C17" s="1155"/>
      <c r="D17" s="428">
        <f>Application!O739</f>
        <v>0</v>
      </c>
      <c r="E17" s="429"/>
      <c r="F17" s="1078"/>
      <c r="G17" s="428">
        <f t="shared" si="2"/>
        <v>0</v>
      </c>
      <c r="H17" s="429"/>
      <c r="I17" s="428" t="str">
        <f t="shared" si="0"/>
        <v/>
      </c>
      <c r="J17" s="428" t="str">
        <f t="shared" si="1"/>
        <v/>
      </c>
      <c r="K17" s="204"/>
      <c r="L17" s="305"/>
    </row>
    <row r="18" spans="1:12">
      <c r="A18" s="428">
        <f>Application!B740</f>
        <v>0</v>
      </c>
      <c r="B18" s="1077">
        <f>Application!G740</f>
        <v>0</v>
      </c>
      <c r="C18" s="1155"/>
      <c r="D18" s="428">
        <f>Application!O740</f>
        <v>0</v>
      </c>
      <c r="E18" s="429"/>
      <c r="F18" s="1078"/>
      <c r="G18" s="428">
        <f t="shared" si="2"/>
        <v>0</v>
      </c>
      <c r="H18" s="429"/>
      <c r="I18" s="428" t="str">
        <f t="shared" si="0"/>
        <v/>
      </c>
      <c r="J18" s="428" t="str">
        <f t="shared" si="1"/>
        <v/>
      </c>
      <c r="K18" s="204"/>
      <c r="L18" s="305"/>
    </row>
    <row r="19" spans="1:12">
      <c r="A19" s="428">
        <f>Application!B741</f>
        <v>0</v>
      </c>
      <c r="B19" s="1077">
        <f>Application!G741</f>
        <v>0</v>
      </c>
      <c r="C19" s="1155"/>
      <c r="D19" s="428">
        <f>Application!O741</f>
        <v>0</v>
      </c>
      <c r="E19" s="429"/>
      <c r="F19" s="1078"/>
      <c r="G19" s="428">
        <f t="shared" si="2"/>
        <v>0</v>
      </c>
      <c r="H19" s="429"/>
      <c r="I19" s="428" t="str">
        <f t="shared" si="0"/>
        <v/>
      </c>
      <c r="J19" s="428" t="str">
        <f t="shared" si="1"/>
        <v/>
      </c>
      <c r="K19" s="204"/>
      <c r="L19" s="305"/>
    </row>
    <row r="20" spans="1:12">
      <c r="A20" s="428">
        <f>Application!B742</f>
        <v>0</v>
      </c>
      <c r="B20" s="1077">
        <f>Application!G742</f>
        <v>0</v>
      </c>
      <c r="C20" s="1155"/>
      <c r="D20" s="428">
        <f>Application!O742</f>
        <v>0</v>
      </c>
      <c r="E20" s="429"/>
      <c r="F20" s="1078"/>
      <c r="G20" s="428">
        <f t="shared" si="2"/>
        <v>0</v>
      </c>
      <c r="H20" s="429"/>
      <c r="I20" s="428" t="str">
        <f t="shared" si="0"/>
        <v/>
      </c>
      <c r="J20" s="428" t="str">
        <f t="shared" si="1"/>
        <v/>
      </c>
      <c r="K20" s="204"/>
      <c r="L20" s="305"/>
    </row>
    <row r="21" spans="1:12">
      <c r="A21" s="428">
        <f>Application!B743</f>
        <v>0</v>
      </c>
      <c r="B21" s="1077">
        <f>Application!G743</f>
        <v>0</v>
      </c>
      <c r="C21" s="1155"/>
      <c r="D21" s="428">
        <f>Application!O743</f>
        <v>0</v>
      </c>
      <c r="E21" s="429"/>
      <c r="F21" s="1078"/>
      <c r="G21" s="428">
        <f t="shared" si="2"/>
        <v>0</v>
      </c>
      <c r="H21" s="429"/>
      <c r="I21" s="428" t="str">
        <f t="shared" si="0"/>
        <v/>
      </c>
      <c r="J21" s="428" t="str">
        <f t="shared" si="1"/>
        <v/>
      </c>
      <c r="K21" s="204"/>
      <c r="L21" s="305"/>
    </row>
    <row r="22" spans="1:12">
      <c r="A22" s="428">
        <f>Application!B744</f>
        <v>0</v>
      </c>
      <c r="B22" s="1077">
        <f>Application!G744</f>
        <v>0</v>
      </c>
      <c r="C22" s="1155"/>
      <c r="D22" s="428">
        <f>Application!O744</f>
        <v>0</v>
      </c>
      <c r="E22" s="429"/>
      <c r="F22" s="1078"/>
      <c r="G22" s="428">
        <f t="shared" si="2"/>
        <v>0</v>
      </c>
      <c r="H22" s="429"/>
      <c r="I22" s="428" t="str">
        <f t="shared" si="0"/>
        <v/>
      </c>
      <c r="J22" s="428" t="str">
        <f t="shared" si="1"/>
        <v/>
      </c>
      <c r="K22" s="204"/>
      <c r="L22" s="305"/>
    </row>
    <row r="23" spans="1:12">
      <c r="A23" s="428">
        <f>Application!B745</f>
        <v>0</v>
      </c>
      <c r="B23" s="1077">
        <f>Application!G745</f>
        <v>0</v>
      </c>
      <c r="C23" s="1155"/>
      <c r="D23" s="428">
        <f>Application!O745</f>
        <v>0</v>
      </c>
      <c r="E23" s="429"/>
      <c r="F23" s="1078"/>
      <c r="G23" s="428">
        <f t="shared" si="2"/>
        <v>0</v>
      </c>
      <c r="H23" s="429"/>
      <c r="I23" s="428" t="str">
        <f t="shared" si="0"/>
        <v/>
      </c>
      <c r="J23" s="428" t="str">
        <f t="shared" si="1"/>
        <v/>
      </c>
      <c r="K23" s="204"/>
      <c r="L23" s="305"/>
    </row>
    <row r="24" spans="1:12">
      <c r="A24" s="428">
        <f>Application!B746</f>
        <v>0</v>
      </c>
      <c r="B24" s="1077">
        <f>Application!G746</f>
        <v>0</v>
      </c>
      <c r="C24" s="1155"/>
      <c r="D24" s="428">
        <f>Application!O746</f>
        <v>0</v>
      </c>
      <c r="E24" s="429"/>
      <c r="F24" s="1078"/>
      <c r="G24" s="428">
        <f t="shared" si="2"/>
        <v>0</v>
      </c>
      <c r="H24" s="429"/>
      <c r="I24" s="428" t="str">
        <f t="shared" si="0"/>
        <v/>
      </c>
      <c r="J24" s="428" t="str">
        <f t="shared" si="1"/>
        <v/>
      </c>
      <c r="K24" s="204"/>
      <c r="L24" s="305"/>
    </row>
    <row r="25" spans="1:12">
      <c r="A25" s="428">
        <f>Application!B747</f>
        <v>0</v>
      </c>
      <c r="B25" s="1077">
        <f>Application!G747</f>
        <v>0</v>
      </c>
      <c r="C25" s="1155"/>
      <c r="D25" s="428">
        <f>Application!O747</f>
        <v>0</v>
      </c>
      <c r="E25" s="429"/>
      <c r="F25" s="1078"/>
      <c r="G25" s="428">
        <f t="shared" si="2"/>
        <v>0</v>
      </c>
      <c r="H25" s="429"/>
      <c r="I25" s="428" t="str">
        <f t="shared" si="0"/>
        <v/>
      </c>
      <c r="J25" s="428" t="str">
        <f t="shared" si="1"/>
        <v/>
      </c>
      <c r="K25" s="204"/>
      <c r="L25" s="305"/>
    </row>
    <row r="26" spans="1:12">
      <c r="A26" s="428">
        <f>Application!B748</f>
        <v>0</v>
      </c>
      <c r="B26" s="1077">
        <f>Application!G748</f>
        <v>0</v>
      </c>
      <c r="C26" s="1155"/>
      <c r="D26" s="428">
        <f>Application!O748</f>
        <v>0</v>
      </c>
      <c r="E26" s="429"/>
      <c r="F26" s="1078"/>
      <c r="G26" s="428">
        <f t="shared" si="2"/>
        <v>0</v>
      </c>
      <c r="H26" s="429"/>
      <c r="I26" s="428" t="str">
        <f t="shared" si="0"/>
        <v/>
      </c>
      <c r="J26" s="428" t="str">
        <f t="shared" si="1"/>
        <v/>
      </c>
      <c r="K26" s="204"/>
      <c r="L26" s="305"/>
    </row>
    <row r="27" spans="1:12">
      <c r="A27" s="428">
        <f>Application!B749</f>
        <v>0</v>
      </c>
      <c r="B27" s="1077">
        <f>Application!G749</f>
        <v>0</v>
      </c>
      <c r="C27" s="1155"/>
      <c r="D27" s="428">
        <f>Application!O749</f>
        <v>0</v>
      </c>
      <c r="E27" s="429"/>
      <c r="F27" s="1078"/>
      <c r="G27" s="428">
        <f t="shared" si="2"/>
        <v>0</v>
      </c>
      <c r="H27" s="429"/>
      <c r="I27" s="428" t="str">
        <f t="shared" si="0"/>
        <v/>
      </c>
      <c r="J27" s="428" t="str">
        <f t="shared" si="1"/>
        <v/>
      </c>
      <c r="K27" s="204"/>
      <c r="L27" s="305"/>
    </row>
    <row r="28" spans="1:12">
      <c r="A28" s="428">
        <f>Application!B750</f>
        <v>0</v>
      </c>
      <c r="B28" s="1077">
        <f>Application!G750</f>
        <v>0</v>
      </c>
      <c r="C28" s="1155"/>
      <c r="D28" s="428">
        <f>Application!O750</f>
        <v>0</v>
      </c>
      <c r="E28" s="429"/>
      <c r="F28" s="1078"/>
      <c r="G28" s="428">
        <f t="shared" si="2"/>
        <v>0</v>
      </c>
      <c r="H28" s="429"/>
      <c r="I28" s="428" t="str">
        <f t="shared" ref="I28:I37" si="3">IF(F28=0,"",(F28-D28))</f>
        <v/>
      </c>
      <c r="J28" s="428" t="str">
        <f t="shared" ref="J28:J37" si="4">IF(F28=0,"",(I28*B28))</f>
        <v/>
      </c>
      <c r="K28" s="204"/>
      <c r="L28" s="305"/>
    </row>
    <row r="29" spans="1:12">
      <c r="A29" s="428">
        <f>Application!B751</f>
        <v>0</v>
      </c>
      <c r="B29" s="1077">
        <f>Application!G751</f>
        <v>0</v>
      </c>
      <c r="C29" s="1155"/>
      <c r="D29" s="428">
        <f>Application!O751</f>
        <v>0</v>
      </c>
      <c r="E29" s="429"/>
      <c r="F29" s="1078"/>
      <c r="G29" s="428">
        <f t="shared" si="2"/>
        <v>0</v>
      </c>
      <c r="H29" s="429"/>
      <c r="I29" s="428" t="str">
        <f t="shared" si="3"/>
        <v/>
      </c>
      <c r="J29" s="428" t="str">
        <f t="shared" si="4"/>
        <v/>
      </c>
      <c r="K29" s="204"/>
      <c r="L29" s="305"/>
    </row>
    <row r="30" spans="1:12">
      <c r="A30" s="428">
        <f>Application!B752</f>
        <v>0</v>
      </c>
      <c r="B30" s="1077">
        <f>Application!G752</f>
        <v>0</v>
      </c>
      <c r="C30" s="1155"/>
      <c r="D30" s="428">
        <f>Application!O752</f>
        <v>0</v>
      </c>
      <c r="E30" s="429"/>
      <c r="F30" s="1078"/>
      <c r="G30" s="428">
        <f t="shared" si="2"/>
        <v>0</v>
      </c>
      <c r="H30" s="429"/>
      <c r="I30" s="428" t="str">
        <f t="shared" si="3"/>
        <v/>
      </c>
      <c r="J30" s="428" t="str">
        <f t="shared" si="4"/>
        <v/>
      </c>
      <c r="K30" s="204"/>
      <c r="L30" s="305"/>
    </row>
    <row r="31" spans="1:12">
      <c r="A31" s="428">
        <f>Application!B753</f>
        <v>0</v>
      </c>
      <c r="B31" s="1077">
        <f>Application!G753</f>
        <v>0</v>
      </c>
      <c r="C31" s="1155"/>
      <c r="D31" s="428">
        <f>Application!O753</f>
        <v>0</v>
      </c>
      <c r="E31" s="429"/>
      <c r="F31" s="1078"/>
      <c r="G31" s="428">
        <f t="shared" si="2"/>
        <v>0</v>
      </c>
      <c r="H31" s="429"/>
      <c r="I31" s="428" t="str">
        <f t="shared" si="3"/>
        <v/>
      </c>
      <c r="J31" s="428" t="str">
        <f t="shared" si="4"/>
        <v/>
      </c>
      <c r="K31" s="204"/>
      <c r="L31" s="305"/>
    </row>
    <row r="32" spans="1:12">
      <c r="A32" s="428">
        <f>Application!B754</f>
        <v>0</v>
      </c>
      <c r="B32" s="1077">
        <f>Application!G754</f>
        <v>0</v>
      </c>
      <c r="C32" s="1155"/>
      <c r="D32" s="428">
        <f>Application!O754</f>
        <v>0</v>
      </c>
      <c r="E32" s="429"/>
      <c r="F32" s="1078"/>
      <c r="G32" s="428">
        <f t="shared" si="2"/>
        <v>0</v>
      </c>
      <c r="H32" s="429"/>
      <c r="I32" s="428" t="str">
        <f t="shared" si="3"/>
        <v/>
      </c>
      <c r="J32" s="428" t="str">
        <f t="shared" si="4"/>
        <v/>
      </c>
      <c r="K32" s="204"/>
      <c r="L32" s="305"/>
    </row>
    <row r="33" spans="1:12">
      <c r="A33" s="428">
        <f>Application!B755</f>
        <v>0</v>
      </c>
      <c r="B33" s="1077">
        <f>Application!G755</f>
        <v>0</v>
      </c>
      <c r="C33" s="1155"/>
      <c r="D33" s="428">
        <f>Application!O755</f>
        <v>0</v>
      </c>
      <c r="E33" s="429"/>
      <c r="F33" s="1078"/>
      <c r="G33" s="428">
        <f t="shared" si="2"/>
        <v>0</v>
      </c>
      <c r="H33" s="429"/>
      <c r="I33" s="428" t="str">
        <f t="shared" si="3"/>
        <v/>
      </c>
      <c r="J33" s="428" t="str">
        <f t="shared" si="4"/>
        <v/>
      </c>
      <c r="K33" s="204"/>
      <c r="L33" s="305"/>
    </row>
    <row r="34" spans="1:12">
      <c r="A34" s="428">
        <f>Application!B756</f>
        <v>0</v>
      </c>
      <c r="B34" s="1077">
        <f>Application!G756</f>
        <v>0</v>
      </c>
      <c r="C34" s="1155"/>
      <c r="D34" s="428">
        <f>Application!O756</f>
        <v>0</v>
      </c>
      <c r="E34" s="429"/>
      <c r="F34" s="1078"/>
      <c r="G34" s="428">
        <f t="shared" si="2"/>
        <v>0</v>
      </c>
      <c r="H34" s="429"/>
      <c r="I34" s="428" t="str">
        <f t="shared" si="3"/>
        <v/>
      </c>
      <c r="J34" s="428" t="str">
        <f t="shared" si="4"/>
        <v/>
      </c>
      <c r="K34" s="204"/>
      <c r="L34" s="305"/>
    </row>
    <row r="35" spans="1:12">
      <c r="A35" s="428">
        <f>Application!B757</f>
        <v>0</v>
      </c>
      <c r="B35" s="1077">
        <f>Application!G757</f>
        <v>0</v>
      </c>
      <c r="C35" s="1155"/>
      <c r="D35" s="428">
        <f>Application!O757</f>
        <v>0</v>
      </c>
      <c r="E35" s="429"/>
      <c r="F35" s="1078"/>
      <c r="G35" s="428">
        <f t="shared" si="2"/>
        <v>0</v>
      </c>
      <c r="H35" s="429"/>
      <c r="I35" s="428" t="str">
        <f t="shared" si="3"/>
        <v/>
      </c>
      <c r="J35" s="428" t="str">
        <f t="shared" si="4"/>
        <v/>
      </c>
      <c r="K35" s="204"/>
      <c r="L35" s="305"/>
    </row>
    <row r="36" spans="1:12">
      <c r="A36" s="428">
        <f>Application!B758</f>
        <v>0</v>
      </c>
      <c r="B36" s="1077">
        <f>Application!G758</f>
        <v>0</v>
      </c>
      <c r="C36" s="1155"/>
      <c r="D36" s="428">
        <f>Application!O758</f>
        <v>0</v>
      </c>
      <c r="E36" s="429"/>
      <c r="F36" s="1078"/>
      <c r="G36" s="428">
        <f t="shared" si="2"/>
        <v>0</v>
      </c>
      <c r="H36" s="429"/>
      <c r="I36" s="428" t="str">
        <f t="shared" si="3"/>
        <v/>
      </c>
      <c r="J36" s="428" t="str">
        <f t="shared" si="4"/>
        <v/>
      </c>
      <c r="K36" s="204"/>
      <c r="L36" s="305"/>
    </row>
    <row r="37" spans="1:12">
      <c r="A37" s="428">
        <f>Application!B759</f>
        <v>0</v>
      </c>
      <c r="B37" s="1077">
        <f>Application!G759</f>
        <v>0</v>
      </c>
      <c r="C37" s="1155"/>
      <c r="D37" s="428">
        <f>Application!O759</f>
        <v>0</v>
      </c>
      <c r="E37" s="429"/>
      <c r="F37" s="1078"/>
      <c r="G37" s="428">
        <f t="shared" si="2"/>
        <v>0</v>
      </c>
      <c r="H37" s="429"/>
      <c r="I37" s="428" t="str">
        <f t="shared" si="3"/>
        <v/>
      </c>
      <c r="J37" s="428" t="str">
        <f t="shared" si="4"/>
        <v/>
      </c>
      <c r="K37" s="204"/>
      <c r="L37" s="305"/>
    </row>
    <row r="38" spans="1:12">
      <c r="A38" s="428">
        <f>Application!B760</f>
        <v>0</v>
      </c>
      <c r="B38" s="1077">
        <f>Application!G760</f>
        <v>0</v>
      </c>
      <c r="C38" s="1155"/>
      <c r="D38" s="428">
        <f>Application!O760</f>
        <v>0</v>
      </c>
      <c r="E38" s="429"/>
      <c r="F38" s="1078"/>
      <c r="G38" s="428">
        <f t="shared" si="2"/>
        <v>0</v>
      </c>
      <c r="H38" s="429"/>
      <c r="I38" s="428" t="str">
        <f>IF(F38=0,"",(F38-D38))</f>
        <v/>
      </c>
      <c r="J38" s="428" t="str">
        <f>IF(F38=0,"",(I38*B38))</f>
        <v/>
      </c>
      <c r="K38" s="204"/>
      <c r="L38" s="305"/>
    </row>
    <row r="39" spans="1:12">
      <c r="A39" s="204"/>
      <c r="B39" s="204"/>
      <c r="C39" s="204"/>
      <c r="D39" s="429"/>
      <c r="E39" s="429"/>
      <c r="F39" s="429"/>
      <c r="G39" s="429"/>
      <c r="H39" s="429"/>
      <c r="I39" s="429"/>
      <c r="J39" s="204"/>
      <c r="K39" s="204"/>
      <c r="L39" s="305"/>
    </row>
    <row r="40" spans="1:12" ht="15">
      <c r="A40" s="430" t="s">
        <v>915</v>
      </c>
      <c r="B40" s="431"/>
      <c r="C40" s="431"/>
      <c r="D40" s="432">
        <f>Application!O761</f>
        <v>82563</v>
      </c>
      <c r="E40" s="429"/>
      <c r="F40" s="429"/>
      <c r="G40" s="432">
        <f>SUM(G4:G38)*12</f>
        <v>0</v>
      </c>
      <c r="H40" s="433"/>
      <c r="I40" s="431"/>
      <c r="J40" s="432">
        <f>SUM(J4:J38)*12</f>
        <v>0</v>
      </c>
      <c r="K40" s="204"/>
      <c r="L40" s="306"/>
    </row>
    <row r="41" spans="1:12" ht="15">
      <c r="A41" s="430"/>
      <c r="B41" s="431"/>
      <c r="C41" s="431"/>
      <c r="D41" s="433"/>
      <c r="E41" s="429"/>
      <c r="F41" s="429"/>
      <c r="G41" s="433"/>
      <c r="H41" s="433"/>
      <c r="I41" s="431"/>
      <c r="J41" s="433"/>
      <c r="K41" s="204"/>
      <c r="L41" s="306"/>
    </row>
    <row r="42" spans="1:12">
      <c r="A42" s="304" t="s">
        <v>2204</v>
      </c>
    </row>
    <row r="43" spans="1:12">
      <c r="A43" s="2681" t="s">
        <v>2425</v>
      </c>
      <c r="B43" s="2681"/>
      <c r="C43" s="2681"/>
      <c r="D43" s="2681"/>
      <c r="E43" s="2681"/>
      <c r="F43" s="2681"/>
      <c r="G43" s="2681"/>
      <c r="H43" s="2681"/>
      <c r="I43" s="2681"/>
      <c r="J43" s="2681"/>
    </row>
    <row r="44" spans="1:12">
      <c r="A44" s="2681"/>
      <c r="B44" s="2681"/>
      <c r="C44" s="2681"/>
      <c r="D44" s="2681"/>
      <c r="E44" s="2681"/>
      <c r="F44" s="2681"/>
      <c r="G44" s="2681"/>
      <c r="H44" s="2681"/>
      <c r="I44" s="2681"/>
      <c r="J44" s="2681"/>
    </row>
    <row r="45" spans="1:12">
      <c r="A45" s="2681" t="s">
        <v>2205</v>
      </c>
      <c r="B45" s="2681"/>
      <c r="C45" s="2681"/>
      <c r="D45" s="2681"/>
      <c r="E45" s="2681"/>
      <c r="F45" s="2681"/>
      <c r="G45" s="2681"/>
      <c r="H45" s="2681"/>
      <c r="I45" s="2681"/>
      <c r="J45" s="2681"/>
    </row>
    <row r="46" spans="1:12">
      <c r="A46" s="2681"/>
      <c r="B46" s="2681"/>
      <c r="C46" s="2681"/>
      <c r="D46" s="2681"/>
      <c r="E46" s="2681"/>
      <c r="F46" s="2681"/>
      <c r="G46" s="2681"/>
      <c r="H46" s="2681"/>
      <c r="I46" s="2681"/>
      <c r="J46" s="2681"/>
    </row>
  </sheetData>
  <sheetProtection algorithmName="SHA-512" hashValue="p2zvtVhkyki0L2d6AN6SLOj6nHdcA/K83knqzt17gzEUblQybanFpZxb+dk3+jLG0jPylNP81gBH9ABvwQ6ppg==" saltValue="EqyDZFmoQ7RSPSrYgr+KX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topLeftCell="A24" workbookViewId="0">
      <selection activeCell="E62" sqref="E62:AG62"/>
    </sheetView>
  </sheetViews>
  <sheetFormatPr defaultColWidth="0" defaultRowHeight="12.75" zeroHeight="1"/>
  <cols>
    <col min="1" max="1" width="3.7109375" customWidth="1"/>
    <col min="2" max="2" width="30.5703125" customWidth="1"/>
    <col min="3" max="3" width="9.140625" style="214"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211" t="s">
        <v>2048</v>
      </c>
      <c r="B1" s="211"/>
    </row>
    <row r="2" spans="1:34"/>
    <row r="3" spans="1:34" ht="15.75">
      <c r="A3" s="212" t="s">
        <v>819</v>
      </c>
      <c r="B3" s="212"/>
      <c r="C3" s="235" t="s">
        <v>820</v>
      </c>
      <c r="D3" s="13"/>
      <c r="E3" s="236" t="s">
        <v>821</v>
      </c>
      <c r="F3" s="203"/>
      <c r="G3" s="236" t="s">
        <v>822</v>
      </c>
      <c r="H3" s="203"/>
      <c r="I3" s="236" t="s">
        <v>823</v>
      </c>
      <c r="J3" s="203"/>
      <c r="K3" s="236" t="s">
        <v>824</v>
      </c>
      <c r="L3" s="203"/>
      <c r="M3" s="236" t="s">
        <v>825</v>
      </c>
      <c r="N3" s="203"/>
      <c r="O3" s="236" t="s">
        <v>826</v>
      </c>
      <c r="P3" s="203"/>
      <c r="Q3" s="236" t="s">
        <v>827</v>
      </c>
      <c r="R3" s="203"/>
      <c r="S3" s="236" t="s">
        <v>828</v>
      </c>
      <c r="T3" s="203"/>
      <c r="U3" s="236" t="s">
        <v>829</v>
      </c>
      <c r="V3" s="203"/>
      <c r="W3" s="236" t="s">
        <v>830</v>
      </c>
      <c r="X3" s="203"/>
      <c r="Y3" s="236" t="s">
        <v>831</v>
      </c>
      <c r="Z3" s="203"/>
      <c r="AA3" s="236" t="s">
        <v>832</v>
      </c>
      <c r="AB3" s="203"/>
      <c r="AC3" s="236" t="s">
        <v>833</v>
      </c>
      <c r="AD3" s="203"/>
      <c r="AE3" s="236" t="s">
        <v>834</v>
      </c>
      <c r="AF3" s="203"/>
      <c r="AG3" s="236" t="s">
        <v>835</v>
      </c>
      <c r="AH3" s="13"/>
    </row>
    <row r="4" spans="1:34" s="219" customFormat="1" ht="14.25">
      <c r="A4" s="219" t="s">
        <v>837</v>
      </c>
      <c r="C4" s="237">
        <v>1.0249999999999999</v>
      </c>
      <c r="E4" s="219">
        <f>Application!Y809</f>
        <v>990756</v>
      </c>
      <c r="G4" s="219">
        <f>E4*$C$4</f>
        <v>1015524.8999999999</v>
      </c>
      <c r="I4" s="219">
        <f>G4*$C$4</f>
        <v>1040913.0224999998</v>
      </c>
      <c r="K4" s="219">
        <f>I4*$C$4</f>
        <v>1066935.8480624997</v>
      </c>
      <c r="M4" s="219">
        <f>K4*$C$4</f>
        <v>1093609.244264062</v>
      </c>
      <c r="O4" s="219">
        <f>M4*$C$4</f>
        <v>1120949.4753706635</v>
      </c>
      <c r="Q4" s="219">
        <f>O4*$C$4</f>
        <v>1148973.2122549298</v>
      </c>
      <c r="S4" s="219">
        <f>Q4*$C$4</f>
        <v>1177697.5425613029</v>
      </c>
      <c r="U4" s="219">
        <f>S4*$C$4</f>
        <v>1207139.9811253354</v>
      </c>
      <c r="W4" s="219">
        <f>U4*$C$4</f>
        <v>1237318.4806534688</v>
      </c>
      <c r="Y4" s="219">
        <f>W4*$C$4</f>
        <v>1268251.4426698054</v>
      </c>
      <c r="AA4" s="219">
        <f>Y4*$C$4</f>
        <v>1299957.7287365503</v>
      </c>
      <c r="AC4" s="219">
        <f>AA4*$C$4</f>
        <v>1332456.6719549641</v>
      </c>
      <c r="AE4" s="219">
        <f>AC4*$C$4</f>
        <v>1365768.0887538381</v>
      </c>
      <c r="AG4" s="219">
        <f>AE4*$C$4</f>
        <v>1399912.2909726838</v>
      </c>
    </row>
    <row r="5" spans="1:34" s="210" customFormat="1" ht="14.25">
      <c r="B5" s="210" t="s">
        <v>838</v>
      </c>
      <c r="C5" s="238">
        <f>IF(Application!$D$211="Special Needs",(((0.1*Application!$T$212)+(0.05*(1-Application!$T$212)))),0.05)</f>
        <v>0.05</v>
      </c>
      <c r="E5" s="221">
        <f>-E4*$C$5</f>
        <v>-49537.8</v>
      </c>
      <c r="F5" s="221"/>
      <c r="G5" s="221">
        <f>-G4*$C$5</f>
        <v>-50776.244999999995</v>
      </c>
      <c r="H5" s="221"/>
      <c r="I5" s="221">
        <f>-I4*$C$5</f>
        <v>-52045.651124999997</v>
      </c>
      <c r="J5" s="221"/>
      <c r="K5" s="221">
        <f>-K4*$C$5</f>
        <v>-53346.792403124986</v>
      </c>
      <c r="L5" s="221"/>
      <c r="M5" s="221">
        <f>-M4*$C$5</f>
        <v>-54680.462213203107</v>
      </c>
      <c r="N5" s="221"/>
      <c r="O5" s="221">
        <f>-O4*$C$5</f>
        <v>-56047.473768533178</v>
      </c>
      <c r="P5" s="221"/>
      <c r="Q5" s="221">
        <f>-Q4*$C$5</f>
        <v>-57448.660612746491</v>
      </c>
      <c r="R5" s="221"/>
      <c r="S5" s="221">
        <f>-S4*$C$5</f>
        <v>-58884.877128065149</v>
      </c>
      <c r="T5" s="221"/>
      <c r="U5" s="221">
        <f>-U4*$C$5</f>
        <v>-60356.999056266774</v>
      </c>
      <c r="V5" s="221"/>
      <c r="W5" s="221">
        <f>-W4*$C$5</f>
        <v>-61865.924032673443</v>
      </c>
      <c r="X5" s="221"/>
      <c r="Y5" s="221">
        <f>-Y4*$C$5</f>
        <v>-63412.57213349027</v>
      </c>
      <c r="Z5" s="221"/>
      <c r="AA5" s="221">
        <f>-AA4*$C$5</f>
        <v>-64997.886436827517</v>
      </c>
      <c r="AB5" s="221"/>
      <c r="AC5" s="221">
        <f>-AC4*$C$5</f>
        <v>-66622.833597748206</v>
      </c>
      <c r="AD5" s="221"/>
      <c r="AE5" s="221">
        <f>-AE4*$C$5</f>
        <v>-68288.404437691905</v>
      </c>
      <c r="AF5" s="221"/>
      <c r="AG5" s="221">
        <f>-AG4*$C$5</f>
        <v>-69995.614548634199</v>
      </c>
    </row>
    <row r="6" spans="1:34" s="210" customFormat="1" ht="14.25">
      <c r="A6" s="210" t="s">
        <v>836</v>
      </c>
      <c r="C6" s="237">
        <v>1.0249999999999999</v>
      </c>
      <c r="E6" s="222">
        <f>Application!Z817</f>
        <v>0</v>
      </c>
      <c r="F6" s="222"/>
      <c r="G6" s="222">
        <f>E6*$C$6</f>
        <v>0</v>
      </c>
      <c r="H6" s="222"/>
      <c r="I6" s="222">
        <f>G6*$C$6</f>
        <v>0</v>
      </c>
      <c r="J6" s="222"/>
      <c r="K6" s="222">
        <f>I6*$C$6</f>
        <v>0</v>
      </c>
      <c r="L6" s="222"/>
      <c r="M6" s="222">
        <f>K6*$C$6</f>
        <v>0</v>
      </c>
      <c r="N6" s="222"/>
      <c r="O6" s="222">
        <f>M6*$C$6</f>
        <v>0</v>
      </c>
      <c r="P6" s="222"/>
      <c r="Q6" s="222">
        <f>O6*$C$6</f>
        <v>0</v>
      </c>
      <c r="R6" s="222"/>
      <c r="S6" s="222">
        <f>Q6*$C$6</f>
        <v>0</v>
      </c>
      <c r="T6" s="222"/>
      <c r="U6" s="222">
        <f>S6*$C$6</f>
        <v>0</v>
      </c>
      <c r="V6" s="222"/>
      <c r="W6" s="222">
        <f>U6*$C$6</f>
        <v>0</v>
      </c>
      <c r="X6" s="222"/>
      <c r="Y6" s="222">
        <f>W6*$C$6</f>
        <v>0</v>
      </c>
      <c r="Z6" s="222"/>
      <c r="AA6" s="222">
        <f>Y6*$C$6</f>
        <v>0</v>
      </c>
      <c r="AB6" s="222"/>
      <c r="AC6" s="222">
        <f>AA6*$C$6</f>
        <v>0</v>
      </c>
      <c r="AD6" s="222"/>
      <c r="AE6" s="222">
        <f>AC6*$C$6</f>
        <v>0</v>
      </c>
      <c r="AF6" s="222"/>
      <c r="AG6" s="222">
        <f>AE6*$C$6</f>
        <v>0</v>
      </c>
    </row>
    <row r="7" spans="1:34" s="210" customFormat="1" ht="14.25">
      <c r="B7" s="210" t="s">
        <v>838</v>
      </c>
      <c r="C7" s="238">
        <f>IF(Application!$D$211="Special Needs",(((0.1*Application!$T$212)+(0.05*(1-Application!$T$212)))),0.05)</f>
        <v>0.05</v>
      </c>
      <c r="E7" s="221">
        <f>-E6*$C$7</f>
        <v>0</v>
      </c>
      <c r="F7" s="221"/>
      <c r="G7" s="221">
        <f>-G6*$C$7</f>
        <v>0</v>
      </c>
      <c r="H7" s="221"/>
      <c r="I7" s="221">
        <f>-I6*$C$7</f>
        <v>0</v>
      </c>
      <c r="J7" s="221"/>
      <c r="K7" s="221">
        <f>-K6*$C$7</f>
        <v>0</v>
      </c>
      <c r="L7" s="221"/>
      <c r="M7" s="221">
        <f>-M6*$C$7</f>
        <v>0</v>
      </c>
      <c r="N7" s="221"/>
      <c r="O7" s="221">
        <f>-O6*$C$7</f>
        <v>0</v>
      </c>
      <c r="P7" s="221"/>
      <c r="Q7" s="221">
        <f>-Q6*$C$7</f>
        <v>0</v>
      </c>
      <c r="R7" s="221"/>
      <c r="S7" s="221">
        <f>-S6*$C$7</f>
        <v>0</v>
      </c>
      <c r="T7" s="221"/>
      <c r="U7" s="221">
        <f>-U6*$C$7</f>
        <v>0</v>
      </c>
      <c r="V7" s="221"/>
      <c r="W7" s="221">
        <f>-W6*$C$7</f>
        <v>0</v>
      </c>
      <c r="X7" s="221"/>
      <c r="Y7" s="221">
        <f>-Y6*$C$7</f>
        <v>0</v>
      </c>
      <c r="Z7" s="221"/>
      <c r="AA7" s="221">
        <f>-AA6*$C$7</f>
        <v>0</v>
      </c>
      <c r="AB7" s="221"/>
      <c r="AC7" s="221">
        <f>-AC6*$C$7</f>
        <v>0</v>
      </c>
      <c r="AD7" s="221"/>
      <c r="AE7" s="221">
        <f>-AE6*$C$7</f>
        <v>0</v>
      </c>
      <c r="AF7" s="221"/>
      <c r="AG7" s="221">
        <f>-AG6*$C$7</f>
        <v>0</v>
      </c>
    </row>
    <row r="8" spans="1:34" s="210" customFormat="1" ht="14.25">
      <c r="A8" s="210" t="s">
        <v>288</v>
      </c>
      <c r="C8" s="237">
        <v>1.0249999999999999</v>
      </c>
      <c r="E8" s="222">
        <f>Application!Z825</f>
        <v>7448</v>
      </c>
      <c r="F8" s="222"/>
      <c r="G8" s="222">
        <f>E8*$C$8</f>
        <v>7634.1999999999989</v>
      </c>
      <c r="H8" s="222"/>
      <c r="I8" s="222">
        <f>G8*$C$8</f>
        <v>7825.0549999999985</v>
      </c>
      <c r="J8" s="222"/>
      <c r="K8" s="222">
        <f>I8*$C$8</f>
        <v>8020.6813749999974</v>
      </c>
      <c r="L8" s="222"/>
      <c r="M8" s="222">
        <f>K8*$C$8</f>
        <v>8221.1984093749961</v>
      </c>
      <c r="N8" s="222"/>
      <c r="O8" s="222">
        <f>M8*$C$8</f>
        <v>8426.7283696093709</v>
      </c>
      <c r="P8" s="222"/>
      <c r="Q8" s="222">
        <f>O8*$C$8</f>
        <v>8637.3965788496043</v>
      </c>
      <c r="R8" s="222"/>
      <c r="S8" s="222">
        <f>Q8*$C$8</f>
        <v>8853.3314933208439</v>
      </c>
      <c r="T8" s="222"/>
      <c r="U8" s="222">
        <f>S8*$C$8</f>
        <v>9074.664780653864</v>
      </c>
      <c r="V8" s="222"/>
      <c r="W8" s="222">
        <f>U8*$C$8</f>
        <v>9301.53140017021</v>
      </c>
      <c r="X8" s="222"/>
      <c r="Y8" s="222">
        <f>W8*$C$8</f>
        <v>9534.0696851744651</v>
      </c>
      <c r="Z8" s="222"/>
      <c r="AA8" s="222">
        <f>Y8*$C$8</f>
        <v>9772.4214273038251</v>
      </c>
      <c r="AB8" s="222"/>
      <c r="AC8" s="222">
        <f>AA8*$C$8</f>
        <v>10016.73196298642</v>
      </c>
      <c r="AD8" s="222"/>
      <c r="AE8" s="222">
        <f>AC8*$C$8</f>
        <v>10267.150262061079</v>
      </c>
      <c r="AF8" s="222"/>
      <c r="AG8" s="222">
        <f>AE8*$C$8</f>
        <v>10523.829018612605</v>
      </c>
    </row>
    <row r="9" spans="1:34" s="210" customFormat="1" ht="14.25">
      <c r="B9" s="210" t="s">
        <v>838</v>
      </c>
      <c r="C9" s="238">
        <f>IF(Application!$D$211="Special Needs",(((0.1*Application!$T$212)+(0.05*(1-Application!$T$212)))),0.05)</f>
        <v>0.05</v>
      </c>
      <c r="E9" s="221">
        <f>-E8*$C$9</f>
        <v>-372.40000000000003</v>
      </c>
      <c r="F9" s="221"/>
      <c r="G9" s="221">
        <f>-G8*$C$9</f>
        <v>-381.71</v>
      </c>
      <c r="H9" s="221"/>
      <c r="I9" s="221">
        <f>-I8*$C$9</f>
        <v>-391.25274999999993</v>
      </c>
      <c r="J9" s="221"/>
      <c r="K9" s="221">
        <f>-K8*$C$9</f>
        <v>-401.0340687499999</v>
      </c>
      <c r="L9" s="221"/>
      <c r="M9" s="221">
        <f>-M8*$C$9</f>
        <v>-411.05992046874985</v>
      </c>
      <c r="N9" s="221"/>
      <c r="O9" s="221">
        <f>-O8*$C$9</f>
        <v>-421.33641848046858</v>
      </c>
      <c r="P9" s="221"/>
      <c r="Q9" s="221">
        <f>-Q8*$C$9</f>
        <v>-431.86982894248024</v>
      </c>
      <c r="R9" s="221"/>
      <c r="S9" s="221">
        <f>-S8*$C$9</f>
        <v>-442.66657466604221</v>
      </c>
      <c r="T9" s="221"/>
      <c r="U9" s="221">
        <f>-U8*$C$9</f>
        <v>-453.73323903269323</v>
      </c>
      <c r="V9" s="221"/>
      <c r="W9" s="221">
        <f>-W8*$C$9</f>
        <v>-465.07657000851054</v>
      </c>
      <c r="X9" s="221"/>
      <c r="Y9" s="221">
        <f>-Y8*$C$9</f>
        <v>-476.70348425872328</v>
      </c>
      <c r="Z9" s="221"/>
      <c r="AA9" s="221">
        <f>-AA8*$C$9</f>
        <v>-488.62107136519126</v>
      </c>
      <c r="AB9" s="221"/>
      <c r="AC9" s="221">
        <f>-AC8*$C$9</f>
        <v>-500.83659814932099</v>
      </c>
      <c r="AD9" s="221"/>
      <c r="AE9" s="221">
        <f>-AE8*$C$9</f>
        <v>-513.35751310305398</v>
      </c>
      <c r="AF9" s="221"/>
      <c r="AG9" s="221">
        <f>-AG8*$C$9</f>
        <v>-526.19145093063025</v>
      </c>
    </row>
    <row r="10" spans="1:34" s="210" customFormat="1" ht="14.25">
      <c r="A10" s="1137" t="s">
        <v>2176</v>
      </c>
      <c r="B10" s="1137"/>
      <c r="C10" s="238"/>
      <c r="E10" s="1138"/>
      <c r="F10" s="222"/>
      <c r="G10" s="1138"/>
      <c r="H10" s="222"/>
      <c r="I10" s="1138"/>
      <c r="J10" s="222"/>
      <c r="K10" s="1138"/>
      <c r="L10" s="222"/>
      <c r="M10" s="1138"/>
      <c r="N10" s="222"/>
      <c r="O10" s="1138"/>
      <c r="P10" s="222"/>
      <c r="Q10" s="1138"/>
      <c r="R10" s="222"/>
      <c r="S10" s="1138"/>
      <c r="T10" s="222"/>
      <c r="U10" s="1138"/>
      <c r="V10" s="222"/>
      <c r="W10" s="1138"/>
      <c r="X10" s="222"/>
      <c r="Y10" s="1138"/>
      <c r="Z10" s="222"/>
      <c r="AA10" s="1138"/>
      <c r="AB10" s="222"/>
      <c r="AC10" s="1138"/>
      <c r="AD10" s="222"/>
      <c r="AE10" s="1138"/>
      <c r="AF10" s="222"/>
      <c r="AG10" s="1138"/>
    </row>
    <row r="11" spans="1:34" s="223" customFormat="1" ht="15">
      <c r="A11" s="223" t="s">
        <v>859</v>
      </c>
      <c r="C11" s="216"/>
      <c r="E11" s="223">
        <f>SUM(E4:E10)</f>
        <v>948293.79999999993</v>
      </c>
      <c r="G11" s="223">
        <f>SUM(G4:G10)</f>
        <v>972001.1449999999</v>
      </c>
      <c r="I11" s="223">
        <f>SUM(I4:I10)</f>
        <v>996301.17362499994</v>
      </c>
      <c r="K11" s="223">
        <f>SUM(K4:K10)</f>
        <v>1021208.7029656247</v>
      </c>
      <c r="M11" s="223">
        <f>SUM(M4:M10)</f>
        <v>1046738.9205397653</v>
      </c>
      <c r="O11" s="223">
        <f>SUM(O4:O10)</f>
        <v>1072907.3935532593</v>
      </c>
      <c r="Q11" s="223">
        <f>SUM(Q4:Q10)</f>
        <v>1099730.0783920903</v>
      </c>
      <c r="S11" s="223">
        <f>SUM(S4:S10)</f>
        <v>1127223.3303518926</v>
      </c>
      <c r="U11" s="223">
        <f>SUM(U4:U10)</f>
        <v>1155403.9136106896</v>
      </c>
      <c r="W11" s="223">
        <f>SUM(W4:W10)</f>
        <v>1184289.011450957</v>
      </c>
      <c r="Y11" s="223">
        <f>SUM(Y4:Y10)</f>
        <v>1213896.2367372308</v>
      </c>
      <c r="AA11" s="223">
        <f>SUM(AA4:AA10)</f>
        <v>1244243.6426556616</v>
      </c>
      <c r="AC11" s="223">
        <f>SUM(AC4:AC10)</f>
        <v>1275349.733722053</v>
      </c>
      <c r="AE11" s="223">
        <f>SUM(AE4:AE10)</f>
        <v>1307233.4770651041</v>
      </c>
      <c r="AG11" s="223">
        <f>SUM(AG4:AG10)</f>
        <v>1339914.3139917315</v>
      </c>
    </row>
    <row r="12" spans="1:34">
      <c r="C12" s="233"/>
      <c r="E12" s="215"/>
      <c r="F12" s="215"/>
      <c r="G12" s="215"/>
      <c r="H12" s="215"/>
      <c r="I12" s="215"/>
      <c r="J12" s="215"/>
      <c r="K12" s="215"/>
      <c r="L12" s="215"/>
      <c r="M12" s="215"/>
      <c r="N12" s="215"/>
      <c r="O12" s="215"/>
      <c r="P12" s="215"/>
      <c r="Q12" s="215"/>
      <c r="R12" s="215"/>
      <c r="S12" s="215"/>
      <c r="T12" s="215"/>
      <c r="U12" s="215"/>
      <c r="V12" s="215"/>
      <c r="W12" s="215"/>
      <c r="X12" s="215"/>
      <c r="Y12" s="215"/>
      <c r="Z12" s="215"/>
      <c r="AA12" s="215"/>
      <c r="AB12" s="215"/>
      <c r="AC12" s="215"/>
      <c r="AD12" s="215"/>
      <c r="AE12" s="215"/>
      <c r="AF12" s="215"/>
      <c r="AG12" s="215"/>
    </row>
    <row r="13" spans="1:34" ht="15.75">
      <c r="A13" s="212" t="s">
        <v>839</v>
      </c>
      <c r="C13" s="233"/>
      <c r="E13" s="215"/>
      <c r="F13" s="215"/>
      <c r="G13" s="215"/>
      <c r="H13" s="215"/>
      <c r="I13" s="215"/>
      <c r="J13" s="215"/>
      <c r="K13" s="215"/>
      <c r="L13" s="215"/>
      <c r="M13" s="215"/>
      <c r="N13" s="215"/>
      <c r="O13" s="215"/>
      <c r="P13" s="215"/>
      <c r="Q13" s="215"/>
      <c r="R13" s="215"/>
      <c r="S13" s="215"/>
      <c r="T13" s="215"/>
      <c r="U13" s="215"/>
      <c r="V13" s="215"/>
      <c r="W13" s="215"/>
      <c r="X13" s="215"/>
      <c r="Y13" s="215"/>
      <c r="Z13" s="215"/>
      <c r="AA13" s="215"/>
      <c r="AB13" s="215"/>
      <c r="AC13" s="215"/>
      <c r="AD13" s="215"/>
      <c r="AE13" s="215"/>
      <c r="AF13" s="215"/>
      <c r="AG13" s="215"/>
    </row>
    <row r="14" spans="1:34" s="210" customFormat="1" ht="14.25">
      <c r="A14" s="210" t="s">
        <v>840</v>
      </c>
      <c r="C14" s="237">
        <v>1.0349999999999999</v>
      </c>
      <c r="E14" s="222"/>
      <c r="F14" s="222"/>
      <c r="G14" s="222"/>
      <c r="H14" s="222"/>
      <c r="I14" s="222"/>
      <c r="J14" s="222"/>
      <c r="K14" s="222"/>
      <c r="L14" s="222"/>
      <c r="M14" s="222"/>
      <c r="N14" s="222"/>
      <c r="O14" s="222"/>
      <c r="P14" s="222"/>
      <c r="Q14" s="222"/>
      <c r="R14" s="222"/>
      <c r="S14" s="222"/>
      <c r="T14" s="222"/>
      <c r="U14" s="222"/>
      <c r="V14" s="222"/>
      <c r="W14" s="222"/>
      <c r="X14" s="222"/>
      <c r="Y14" s="222"/>
      <c r="Z14" s="222"/>
      <c r="AA14" s="222"/>
      <c r="AB14" s="222"/>
      <c r="AC14" s="222"/>
      <c r="AD14" s="222"/>
      <c r="AE14" s="222"/>
      <c r="AF14" s="222"/>
      <c r="AG14" s="222"/>
    </row>
    <row r="15" spans="1:34" s="219" customFormat="1" ht="14.25">
      <c r="A15" s="219" t="s">
        <v>841</v>
      </c>
      <c r="C15" s="176"/>
      <c r="E15" s="219">
        <f>Application!W855</f>
        <v>10000</v>
      </c>
      <c r="G15" s="219">
        <f>E15*$C$14</f>
        <v>10350</v>
      </c>
      <c r="I15" s="219">
        <f>G15*$C$14</f>
        <v>10712.25</v>
      </c>
      <c r="K15" s="219">
        <f>I15*$C$14</f>
        <v>11087.178749999999</v>
      </c>
      <c r="M15" s="219">
        <f>K15*$C$14</f>
        <v>11475.230006249998</v>
      </c>
      <c r="O15" s="219">
        <f>M15*$C$14</f>
        <v>11876.863056468746</v>
      </c>
      <c r="Q15" s="219">
        <f>O15*$C$14</f>
        <v>12292.553263445152</v>
      </c>
      <c r="S15" s="219">
        <f>Q15*$C$14</f>
        <v>12722.792627665731</v>
      </c>
      <c r="U15" s="219">
        <f>S15*$C$14</f>
        <v>13168.09036963403</v>
      </c>
      <c r="W15" s="219">
        <f>U15*$C$14</f>
        <v>13628.973532571221</v>
      </c>
      <c r="Y15" s="219">
        <f>W15*$C$14</f>
        <v>14105.987606211213</v>
      </c>
      <c r="AA15" s="219">
        <f>Y15*$C$14</f>
        <v>14599.697172428603</v>
      </c>
      <c r="AC15" s="219">
        <f>AA15*$C$14</f>
        <v>15110.686573463603</v>
      </c>
      <c r="AE15" s="219">
        <f>AC15*$C$14</f>
        <v>15639.560603534828</v>
      </c>
      <c r="AG15" s="219">
        <f>AE15*$C$14</f>
        <v>16186.945224658546</v>
      </c>
    </row>
    <row r="16" spans="1:34" s="210" customFormat="1" ht="14.25">
      <c r="A16" s="210" t="s">
        <v>344</v>
      </c>
      <c r="C16" s="233"/>
      <c r="E16" s="222">
        <f>Application!W857</f>
        <v>56737</v>
      </c>
      <c r="F16" s="222"/>
      <c r="G16" s="222">
        <f t="shared" ref="G16:AG21" si="0">E16*$C$14</f>
        <v>58722.794999999998</v>
      </c>
      <c r="H16" s="222"/>
      <c r="I16" s="222">
        <f t="shared" si="0"/>
        <v>60778.092824999992</v>
      </c>
      <c r="J16" s="222"/>
      <c r="K16" s="222">
        <f t="shared" si="0"/>
        <v>62905.326073874989</v>
      </c>
      <c r="L16" s="222"/>
      <c r="M16" s="222">
        <f t="shared" si="0"/>
        <v>65107.012486460611</v>
      </c>
      <c r="N16" s="222"/>
      <c r="O16" s="222">
        <f t="shared" si="0"/>
        <v>67385.75792348673</v>
      </c>
      <c r="P16" s="222"/>
      <c r="Q16" s="222">
        <f t="shared" si="0"/>
        <v>69744.259450808764</v>
      </c>
      <c r="R16" s="222"/>
      <c r="S16" s="222">
        <f t="shared" si="0"/>
        <v>72185.30853158707</v>
      </c>
      <c r="T16" s="222"/>
      <c r="U16" s="222">
        <f t="shared" si="0"/>
        <v>74711.794330192613</v>
      </c>
      <c r="V16" s="222"/>
      <c r="W16" s="222">
        <f t="shared" si="0"/>
        <v>77326.707131749354</v>
      </c>
      <c r="X16" s="222"/>
      <c r="Y16" s="222">
        <f t="shared" si="0"/>
        <v>80033.141881360571</v>
      </c>
      <c r="Z16" s="222"/>
      <c r="AA16" s="222">
        <f t="shared" si="0"/>
        <v>82834.301847208189</v>
      </c>
      <c r="AB16" s="222"/>
      <c r="AC16" s="222">
        <f t="shared" si="0"/>
        <v>85733.502411860463</v>
      </c>
      <c r="AD16" s="222"/>
      <c r="AE16" s="222">
        <f t="shared" si="0"/>
        <v>88734.174996275571</v>
      </c>
      <c r="AF16" s="222"/>
      <c r="AG16" s="222">
        <f t="shared" si="0"/>
        <v>91839.871121145203</v>
      </c>
    </row>
    <row r="17" spans="1:33" s="210" customFormat="1" ht="14.25">
      <c r="A17" s="210" t="s">
        <v>561</v>
      </c>
      <c r="C17" s="233"/>
      <c r="E17" s="222">
        <f>Application!W863</f>
        <v>40000</v>
      </c>
      <c r="F17" s="222"/>
      <c r="G17" s="222">
        <f t="shared" si="0"/>
        <v>41400</v>
      </c>
      <c r="H17" s="222"/>
      <c r="I17" s="222">
        <f t="shared" si="0"/>
        <v>42849</v>
      </c>
      <c r="J17" s="222"/>
      <c r="K17" s="222">
        <f t="shared" si="0"/>
        <v>44348.714999999997</v>
      </c>
      <c r="L17" s="222"/>
      <c r="M17" s="222">
        <f t="shared" si="0"/>
        <v>45900.920024999992</v>
      </c>
      <c r="N17" s="222"/>
      <c r="O17" s="222">
        <f t="shared" si="0"/>
        <v>47507.452225874986</v>
      </c>
      <c r="P17" s="222"/>
      <c r="Q17" s="222">
        <f t="shared" si="0"/>
        <v>49170.213053780608</v>
      </c>
      <c r="R17" s="222"/>
      <c r="S17" s="222">
        <f t="shared" si="0"/>
        <v>50891.170510662923</v>
      </c>
      <c r="T17" s="222"/>
      <c r="U17" s="222">
        <f t="shared" si="0"/>
        <v>52672.361478536121</v>
      </c>
      <c r="V17" s="222"/>
      <c r="W17" s="222">
        <f t="shared" si="0"/>
        <v>54515.894130284883</v>
      </c>
      <c r="X17" s="222"/>
      <c r="Y17" s="222">
        <f t="shared" si="0"/>
        <v>56423.95042484485</v>
      </c>
      <c r="Z17" s="222"/>
      <c r="AA17" s="222">
        <f t="shared" si="0"/>
        <v>58398.788689714413</v>
      </c>
      <c r="AB17" s="222"/>
      <c r="AC17" s="222">
        <f t="shared" si="0"/>
        <v>60442.746293854412</v>
      </c>
      <c r="AD17" s="222"/>
      <c r="AE17" s="222">
        <f t="shared" si="0"/>
        <v>62558.242414139313</v>
      </c>
      <c r="AF17" s="222"/>
      <c r="AG17" s="222">
        <f t="shared" si="0"/>
        <v>64747.780898634184</v>
      </c>
    </row>
    <row r="18" spans="1:33" s="210" customFormat="1" ht="14.25">
      <c r="A18" s="210" t="s">
        <v>842</v>
      </c>
      <c r="C18" s="233"/>
      <c r="E18" s="222">
        <f>Application!W870</f>
        <v>35000</v>
      </c>
      <c r="F18" s="222"/>
      <c r="G18" s="222">
        <f t="shared" si="0"/>
        <v>36225</v>
      </c>
      <c r="H18" s="222"/>
      <c r="I18" s="222">
        <f t="shared" si="0"/>
        <v>37492.875</v>
      </c>
      <c r="J18" s="222"/>
      <c r="K18" s="222">
        <f t="shared" si="0"/>
        <v>38805.125625000001</v>
      </c>
      <c r="L18" s="222"/>
      <c r="M18" s="222">
        <f t="shared" si="0"/>
        <v>40163.305021875</v>
      </c>
      <c r="N18" s="222"/>
      <c r="O18" s="222">
        <f t="shared" si="0"/>
        <v>41569.020697640619</v>
      </c>
      <c r="P18" s="222"/>
      <c r="Q18" s="222">
        <f t="shared" si="0"/>
        <v>43023.936422058039</v>
      </c>
      <c r="R18" s="222"/>
      <c r="S18" s="222">
        <f t="shared" si="0"/>
        <v>44529.774196830069</v>
      </c>
      <c r="T18" s="222"/>
      <c r="U18" s="222">
        <f t="shared" si="0"/>
        <v>46088.316293719115</v>
      </c>
      <c r="V18" s="222"/>
      <c r="W18" s="222">
        <f t="shared" si="0"/>
        <v>47701.407363999278</v>
      </c>
      <c r="X18" s="222"/>
      <c r="Y18" s="222">
        <f t="shared" si="0"/>
        <v>49370.956621739249</v>
      </c>
      <c r="Z18" s="222"/>
      <c r="AA18" s="222">
        <f t="shared" si="0"/>
        <v>51098.940103500121</v>
      </c>
      <c r="AB18" s="222"/>
      <c r="AC18" s="222">
        <f t="shared" si="0"/>
        <v>52887.403007122623</v>
      </c>
      <c r="AD18" s="222"/>
      <c r="AE18" s="222">
        <f t="shared" si="0"/>
        <v>54738.462112371912</v>
      </c>
      <c r="AF18" s="222"/>
      <c r="AG18" s="222">
        <f t="shared" si="0"/>
        <v>56654.308286304928</v>
      </c>
    </row>
    <row r="19" spans="1:33" s="210" customFormat="1" ht="14.25">
      <c r="A19" s="210" t="s">
        <v>155</v>
      </c>
      <c r="C19" s="233"/>
      <c r="E19" s="222">
        <f>Application!W872</f>
        <v>73500</v>
      </c>
      <c r="F19" s="222"/>
      <c r="G19" s="222">
        <f t="shared" si="0"/>
        <v>76072.5</v>
      </c>
      <c r="H19" s="222"/>
      <c r="I19" s="222">
        <f t="shared" si="0"/>
        <v>78735.037499999991</v>
      </c>
      <c r="J19" s="222"/>
      <c r="K19" s="222">
        <f t="shared" si="0"/>
        <v>81490.763812499979</v>
      </c>
      <c r="L19" s="222"/>
      <c r="M19" s="222">
        <f t="shared" si="0"/>
        <v>84342.940545937468</v>
      </c>
      <c r="N19" s="222"/>
      <c r="O19" s="222">
        <f t="shared" si="0"/>
        <v>87294.943465045275</v>
      </c>
      <c r="P19" s="222"/>
      <c r="Q19" s="222">
        <f t="shared" si="0"/>
        <v>90350.266486321852</v>
      </c>
      <c r="R19" s="222"/>
      <c r="S19" s="222">
        <f t="shared" si="0"/>
        <v>93512.525813343105</v>
      </c>
      <c r="T19" s="222"/>
      <c r="U19" s="222">
        <f t="shared" si="0"/>
        <v>96785.464216810113</v>
      </c>
      <c r="V19" s="222"/>
      <c r="W19" s="222">
        <f t="shared" si="0"/>
        <v>100172.95546439846</v>
      </c>
      <c r="X19" s="222"/>
      <c r="Y19" s="222">
        <f t="shared" si="0"/>
        <v>103679.0089056524</v>
      </c>
      <c r="Z19" s="222"/>
      <c r="AA19" s="222">
        <f t="shared" si="0"/>
        <v>107307.77421735023</v>
      </c>
      <c r="AB19" s="222"/>
      <c r="AC19" s="222">
        <f t="shared" si="0"/>
        <v>111063.54631495748</v>
      </c>
      <c r="AD19" s="222"/>
      <c r="AE19" s="222">
        <f t="shared" si="0"/>
        <v>114950.77043598099</v>
      </c>
      <c r="AF19" s="222"/>
      <c r="AG19" s="222">
        <f t="shared" si="0"/>
        <v>118974.04740124031</v>
      </c>
    </row>
    <row r="20" spans="1:33" s="210" customFormat="1" ht="14.25">
      <c r="A20" s="210" t="s">
        <v>390</v>
      </c>
      <c r="C20" s="233"/>
      <c r="E20" s="222">
        <f>Application!W881</f>
        <v>83173</v>
      </c>
      <c r="F20" s="222"/>
      <c r="G20" s="222">
        <f t="shared" si="0"/>
        <v>86084.054999999993</v>
      </c>
      <c r="H20" s="222"/>
      <c r="I20" s="222">
        <f t="shared" si="0"/>
        <v>89096.996924999985</v>
      </c>
      <c r="J20" s="222"/>
      <c r="K20" s="222">
        <f t="shared" si="0"/>
        <v>92215.391817374984</v>
      </c>
      <c r="L20" s="222"/>
      <c r="M20" s="222">
        <f t="shared" si="0"/>
        <v>95442.930530983096</v>
      </c>
      <c r="N20" s="222"/>
      <c r="O20" s="222">
        <f t="shared" si="0"/>
        <v>98783.433099567497</v>
      </c>
      <c r="P20" s="222"/>
      <c r="Q20" s="222">
        <f t="shared" si="0"/>
        <v>102240.85325805235</v>
      </c>
      <c r="R20" s="222"/>
      <c r="S20" s="222">
        <f t="shared" si="0"/>
        <v>105819.28312208418</v>
      </c>
      <c r="T20" s="222"/>
      <c r="U20" s="222">
        <f t="shared" si="0"/>
        <v>109522.95803135712</v>
      </c>
      <c r="V20" s="222"/>
      <c r="W20" s="222">
        <f t="shared" si="0"/>
        <v>113356.26156245462</v>
      </c>
      <c r="X20" s="222"/>
      <c r="Y20" s="222">
        <f t="shared" si="0"/>
        <v>117323.73071714051</v>
      </c>
      <c r="Z20" s="222"/>
      <c r="AA20" s="222">
        <f t="shared" si="0"/>
        <v>121430.06129224043</v>
      </c>
      <c r="AB20" s="222"/>
      <c r="AC20" s="222">
        <f t="shared" si="0"/>
        <v>125680.11343746883</v>
      </c>
      <c r="AD20" s="222"/>
      <c r="AE20" s="222">
        <f t="shared" si="0"/>
        <v>130078.91740778023</v>
      </c>
      <c r="AF20" s="222"/>
      <c r="AG20" s="222">
        <f t="shared" si="0"/>
        <v>134631.67951705251</v>
      </c>
    </row>
    <row r="21" spans="1:33" s="210" customFormat="1" ht="14.25">
      <c r="A21" s="226" t="s">
        <v>962</v>
      </c>
      <c r="B21" s="226"/>
      <c r="C21" s="233"/>
      <c r="E21" s="232">
        <f>Application!W888</f>
        <v>0</v>
      </c>
      <c r="F21" s="222"/>
      <c r="G21" s="232">
        <f t="shared" si="0"/>
        <v>0</v>
      </c>
      <c r="H21" s="222"/>
      <c r="I21" s="232">
        <f t="shared" si="0"/>
        <v>0</v>
      </c>
      <c r="J21" s="222"/>
      <c r="K21" s="232">
        <f t="shared" si="0"/>
        <v>0</v>
      </c>
      <c r="L21" s="222"/>
      <c r="M21" s="232">
        <f t="shared" si="0"/>
        <v>0</v>
      </c>
      <c r="N21" s="222"/>
      <c r="O21" s="232">
        <f t="shared" si="0"/>
        <v>0</v>
      </c>
      <c r="P21" s="222"/>
      <c r="Q21" s="232">
        <f t="shared" si="0"/>
        <v>0</v>
      </c>
      <c r="R21" s="222"/>
      <c r="S21" s="232">
        <f t="shared" si="0"/>
        <v>0</v>
      </c>
      <c r="T21" s="222"/>
      <c r="U21" s="232">
        <f t="shared" si="0"/>
        <v>0</v>
      </c>
      <c r="V21" s="222"/>
      <c r="W21" s="232">
        <f t="shared" si="0"/>
        <v>0</v>
      </c>
      <c r="X21" s="222"/>
      <c r="Y21" s="232">
        <f t="shared" si="0"/>
        <v>0</v>
      </c>
      <c r="Z21" s="222"/>
      <c r="AA21" s="232">
        <f t="shared" si="0"/>
        <v>0</v>
      </c>
      <c r="AB21" s="222"/>
      <c r="AC21" s="232">
        <f t="shared" si="0"/>
        <v>0</v>
      </c>
      <c r="AD21" s="222"/>
      <c r="AE21" s="232">
        <f t="shared" si="0"/>
        <v>0</v>
      </c>
      <c r="AF21" s="222"/>
      <c r="AG21" s="232">
        <f t="shared" si="0"/>
        <v>0</v>
      </c>
    </row>
    <row r="22" spans="1:33" s="223" customFormat="1" ht="15">
      <c r="A22" s="223" t="s">
        <v>843</v>
      </c>
      <c r="C22" s="233"/>
      <c r="E22" s="223">
        <f>SUM(E15:E21)</f>
        <v>298410</v>
      </c>
      <c r="G22" s="223">
        <f>SUM(G15:G21)</f>
        <v>308854.34999999998</v>
      </c>
      <c r="I22" s="223">
        <f>SUM(I15:I21)</f>
        <v>319664.25224999996</v>
      </c>
      <c r="K22" s="223">
        <f>SUM(K15:K21)</f>
        <v>330852.50107874995</v>
      </c>
      <c r="M22" s="223">
        <f>SUM(M15:M21)</f>
        <v>342432.33861650614</v>
      </c>
      <c r="O22" s="223">
        <f>SUM(O15:O21)</f>
        <v>354417.47046808386</v>
      </c>
      <c r="Q22" s="223">
        <f>SUM(Q15:Q21)</f>
        <v>366822.08193446673</v>
      </c>
      <c r="S22" s="223">
        <f>SUM(S15:S21)</f>
        <v>379660.8548021731</v>
      </c>
      <c r="U22" s="223">
        <f>SUM(U15:U21)</f>
        <v>392948.98472024908</v>
      </c>
      <c r="W22" s="223">
        <f>SUM(W15:W21)</f>
        <v>406702.19918545784</v>
      </c>
      <c r="Y22" s="223">
        <f>SUM(Y15:Y21)</f>
        <v>420936.77615694876</v>
      </c>
      <c r="AA22" s="223">
        <f>SUM(AA15:AA21)</f>
        <v>435669.563322442</v>
      </c>
      <c r="AC22" s="223">
        <f>SUM(AC15:AC21)</f>
        <v>450917.99803872744</v>
      </c>
      <c r="AE22" s="223">
        <f>SUM(AE15:AE21)</f>
        <v>466700.12797008286</v>
      </c>
      <c r="AG22" s="223">
        <f>SUM(AG15:AG21)</f>
        <v>483034.63244903565</v>
      </c>
    </row>
    <row r="23" spans="1:33" s="210" customFormat="1" ht="14.25">
      <c r="C23" s="233"/>
      <c r="E23" s="222"/>
      <c r="F23" s="222"/>
      <c r="G23" s="222"/>
      <c r="H23" s="222"/>
      <c r="I23" s="222"/>
      <c r="J23" s="222"/>
      <c r="K23" s="222"/>
      <c r="L23" s="222"/>
      <c r="M23" s="222"/>
      <c r="N23" s="222"/>
      <c r="O23" s="222"/>
      <c r="P23" s="222"/>
      <c r="Q23" s="222"/>
      <c r="R23" s="222"/>
      <c r="S23" s="222"/>
      <c r="T23" s="222"/>
      <c r="U23" s="222"/>
      <c r="V23" s="222"/>
      <c r="W23" s="222"/>
      <c r="X23" s="222"/>
      <c r="Y23" s="222"/>
      <c r="Z23" s="222"/>
      <c r="AA23" s="222"/>
      <c r="AB23" s="222"/>
      <c r="AC23" s="222"/>
      <c r="AD23" s="222"/>
      <c r="AE23" s="222"/>
      <c r="AF23" s="222"/>
      <c r="AG23" s="222"/>
    </row>
    <row r="24" spans="1:33" s="210" customFormat="1" ht="14.25">
      <c r="A24" s="210" t="s">
        <v>1671</v>
      </c>
      <c r="C24" s="233"/>
      <c r="E24" s="906"/>
      <c r="F24" s="222"/>
      <c r="G24" s="222">
        <f>E24*$C$24</f>
        <v>0</v>
      </c>
      <c r="H24" s="222"/>
      <c r="I24" s="222">
        <f>G24*$C$24</f>
        <v>0</v>
      </c>
      <c r="J24" s="222"/>
      <c r="K24" s="222">
        <f>I24*$C$24</f>
        <v>0</v>
      </c>
      <c r="L24" s="222"/>
      <c r="M24" s="222">
        <f>K24*$C$24</f>
        <v>0</v>
      </c>
      <c r="N24" s="222"/>
      <c r="O24" s="222">
        <f>M24*$C$24</f>
        <v>0</v>
      </c>
      <c r="P24" s="222"/>
      <c r="Q24" s="222">
        <f>O24*$C$24</f>
        <v>0</v>
      </c>
      <c r="R24" s="222"/>
      <c r="S24" s="222">
        <f>Q24*$C$24</f>
        <v>0</v>
      </c>
      <c r="T24" s="222"/>
      <c r="U24" s="222">
        <f>S24*$C$24</f>
        <v>0</v>
      </c>
      <c r="V24" s="222"/>
      <c r="W24" s="222">
        <f>U24*$C$24</f>
        <v>0</v>
      </c>
      <c r="X24" s="222"/>
      <c r="Y24" s="222">
        <f>W24*$C$24</f>
        <v>0</v>
      </c>
      <c r="Z24" s="222"/>
      <c r="AA24" s="222">
        <f>Y24*$C$24</f>
        <v>0</v>
      </c>
      <c r="AB24" s="222"/>
      <c r="AC24" s="222">
        <f>AA24*$C$24</f>
        <v>0</v>
      </c>
      <c r="AD24" s="222"/>
      <c r="AE24" s="222">
        <f>AC24*$C$24</f>
        <v>0</v>
      </c>
      <c r="AF24" s="222"/>
      <c r="AG24" s="222">
        <f>AE24*$C$24</f>
        <v>0</v>
      </c>
    </row>
    <row r="25" spans="1:33" s="210" customFormat="1" ht="14.25">
      <c r="C25" s="233"/>
      <c r="E25" s="222"/>
      <c r="F25" s="222"/>
      <c r="G25" s="222"/>
      <c r="H25" s="222"/>
      <c r="I25" s="222"/>
      <c r="J25" s="222"/>
      <c r="K25" s="222"/>
      <c r="L25" s="222"/>
      <c r="M25" s="222"/>
      <c r="N25" s="222"/>
      <c r="O25" s="222"/>
      <c r="P25" s="222"/>
      <c r="Q25" s="222"/>
      <c r="R25" s="222"/>
      <c r="S25" s="222"/>
      <c r="T25" s="222"/>
      <c r="U25" s="222"/>
      <c r="V25" s="222"/>
      <c r="W25" s="222"/>
      <c r="X25" s="222"/>
      <c r="Y25" s="222"/>
      <c r="Z25" s="222"/>
      <c r="AA25" s="222"/>
      <c r="AB25" s="222"/>
      <c r="AC25" s="222"/>
      <c r="AD25" s="222"/>
      <c r="AE25" s="222"/>
      <c r="AF25" s="222"/>
      <c r="AG25" s="222"/>
    </row>
    <row r="26" spans="1:33" s="210" customFormat="1" ht="14.25">
      <c r="A26" s="210" t="s">
        <v>1159</v>
      </c>
      <c r="C26" s="237">
        <v>1.0349999999999999</v>
      </c>
      <c r="E26" s="222">
        <f>Application!AC896</f>
        <v>0</v>
      </c>
      <c r="F26" s="222"/>
      <c r="G26" s="222">
        <f>E26*$C$26</f>
        <v>0</v>
      </c>
      <c r="H26" s="222"/>
      <c r="I26" s="222">
        <f>G26*$C$26</f>
        <v>0</v>
      </c>
      <c r="J26" s="222"/>
      <c r="K26" s="222">
        <f>I26*$C$26</f>
        <v>0</v>
      </c>
      <c r="L26" s="222"/>
      <c r="M26" s="222">
        <f>K26*$C$26</f>
        <v>0</v>
      </c>
      <c r="N26" s="222"/>
      <c r="O26" s="222">
        <f>M26*$C$26</f>
        <v>0</v>
      </c>
      <c r="P26" s="222"/>
      <c r="Q26" s="222">
        <f>O26*$C$26</f>
        <v>0</v>
      </c>
      <c r="R26" s="222"/>
      <c r="S26" s="222">
        <f>Q26*$C$26</f>
        <v>0</v>
      </c>
      <c r="T26" s="222"/>
      <c r="U26" s="222">
        <f>S26*$C$26</f>
        <v>0</v>
      </c>
      <c r="V26" s="222"/>
      <c r="W26" s="222">
        <f>U26*$C$26</f>
        <v>0</v>
      </c>
      <c r="X26" s="222"/>
      <c r="Y26" s="222">
        <f>W26*$C$26</f>
        <v>0</v>
      </c>
      <c r="Z26" s="222"/>
      <c r="AA26" s="222">
        <f>Y26*$C$26</f>
        <v>0</v>
      </c>
      <c r="AB26" s="222"/>
      <c r="AC26" s="222">
        <f>AA26*$C$26</f>
        <v>0</v>
      </c>
      <c r="AD26" s="222"/>
      <c r="AE26" s="222">
        <f>AC26*$C$26</f>
        <v>0</v>
      </c>
      <c r="AF26" s="222"/>
      <c r="AG26" s="222">
        <f>AE26*$C$26</f>
        <v>0</v>
      </c>
    </row>
    <row r="27" spans="1:33" s="210" customFormat="1" ht="14.25">
      <c r="A27" s="210" t="s">
        <v>845</v>
      </c>
      <c r="C27" s="237">
        <v>1.0349999999999999</v>
      </c>
      <c r="E27" s="222">
        <f>Application!AC897</f>
        <v>22800</v>
      </c>
      <c r="F27" s="222"/>
      <c r="G27" s="222">
        <f>E27*$C$27</f>
        <v>23597.999999999996</v>
      </c>
      <c r="H27" s="222"/>
      <c r="I27" s="222">
        <f>G27*$C$27</f>
        <v>24423.929999999993</v>
      </c>
      <c r="J27" s="222"/>
      <c r="K27" s="222">
        <f>I27*$C$27</f>
        <v>25278.76754999999</v>
      </c>
      <c r="L27" s="222"/>
      <c r="M27" s="222">
        <f>K27*$C$27</f>
        <v>26163.524414249987</v>
      </c>
      <c r="N27" s="222"/>
      <c r="O27" s="222">
        <f>M27*$C$27</f>
        <v>27079.247768748734</v>
      </c>
      <c r="P27" s="222"/>
      <c r="Q27" s="222">
        <f>O27*$C$27</f>
        <v>28027.021440654938</v>
      </c>
      <c r="R27" s="222"/>
      <c r="S27" s="222">
        <f>Q27*$C$27</f>
        <v>29007.96719107786</v>
      </c>
      <c r="T27" s="222"/>
      <c r="U27" s="222">
        <f>S27*$C$27</f>
        <v>30023.246042765582</v>
      </c>
      <c r="V27" s="222"/>
      <c r="W27" s="222">
        <f>U27*$C$27</f>
        <v>31074.059654262375</v>
      </c>
      <c r="X27" s="222"/>
      <c r="Y27" s="222">
        <f>W27*$C$27</f>
        <v>32161.651742161557</v>
      </c>
      <c r="Z27" s="222"/>
      <c r="AA27" s="222">
        <f>Y27*$C$27</f>
        <v>33287.309553137209</v>
      </c>
      <c r="AB27" s="222"/>
      <c r="AC27" s="222">
        <f>AA27*$C$27</f>
        <v>34452.365387497011</v>
      </c>
      <c r="AD27" s="222"/>
      <c r="AE27" s="222">
        <f>AC27*$C$27</f>
        <v>35658.198176059406</v>
      </c>
      <c r="AF27" s="222"/>
      <c r="AG27" s="222">
        <f>AE27*$C$27</f>
        <v>36906.235112221482</v>
      </c>
    </row>
    <row r="28" spans="1:33" s="210" customFormat="1" ht="14.25">
      <c r="A28" s="210" t="s">
        <v>846</v>
      </c>
      <c r="C28" s="237"/>
      <c r="E28" s="222">
        <f>Application!AC898</f>
        <v>12250</v>
      </c>
      <c r="F28" s="222"/>
      <c r="G28" s="222">
        <f>$E$28</f>
        <v>12250</v>
      </c>
      <c r="H28" s="222"/>
      <c r="I28" s="222">
        <f>$E$28</f>
        <v>12250</v>
      </c>
      <c r="J28" s="222"/>
      <c r="K28" s="222">
        <f>$E$28</f>
        <v>12250</v>
      </c>
      <c r="L28" s="222"/>
      <c r="M28" s="222">
        <f>$E$28</f>
        <v>12250</v>
      </c>
      <c r="N28" s="222"/>
      <c r="O28" s="222">
        <f>$E$28</f>
        <v>12250</v>
      </c>
      <c r="P28" s="222"/>
      <c r="Q28" s="222">
        <f>$E$28</f>
        <v>12250</v>
      </c>
      <c r="R28" s="222"/>
      <c r="S28" s="222">
        <f>$E$28</f>
        <v>12250</v>
      </c>
      <c r="T28" s="222"/>
      <c r="U28" s="222">
        <f>$E$28</f>
        <v>12250</v>
      </c>
      <c r="V28" s="222"/>
      <c r="W28" s="222">
        <f>$E$28</f>
        <v>12250</v>
      </c>
      <c r="X28" s="222"/>
      <c r="Y28" s="222">
        <f>$E$28</f>
        <v>12250</v>
      </c>
      <c r="Z28" s="222"/>
      <c r="AA28" s="222">
        <f>$E$28</f>
        <v>12250</v>
      </c>
      <c r="AB28" s="222"/>
      <c r="AC28" s="222">
        <f>$E$28</f>
        <v>12250</v>
      </c>
      <c r="AD28" s="222"/>
      <c r="AE28" s="222">
        <f>$E$28</f>
        <v>12250</v>
      </c>
      <c r="AF28" s="222"/>
      <c r="AG28" s="222">
        <f>$E$28</f>
        <v>12250</v>
      </c>
    </row>
    <row r="29" spans="1:33" s="210" customFormat="1" ht="14.25">
      <c r="A29" s="210" t="s">
        <v>1669</v>
      </c>
      <c r="C29" s="237"/>
      <c r="E29" s="222">
        <f>Application!AC899</f>
        <v>0</v>
      </c>
      <c r="F29" s="222"/>
      <c r="G29" s="222">
        <f>$E$29</f>
        <v>0</v>
      </c>
      <c r="H29" s="222"/>
      <c r="I29" s="222">
        <f>$E$29</f>
        <v>0</v>
      </c>
      <c r="J29" s="222"/>
      <c r="K29" s="222">
        <f>$E$29</f>
        <v>0</v>
      </c>
      <c r="L29" s="222"/>
      <c r="M29" s="222">
        <f>$E$29</f>
        <v>0</v>
      </c>
      <c r="N29" s="222"/>
      <c r="O29" s="222">
        <f>$E$29</f>
        <v>0</v>
      </c>
      <c r="P29" s="222"/>
      <c r="Q29" s="222">
        <f>$E$29</f>
        <v>0</v>
      </c>
      <c r="R29" s="222"/>
      <c r="S29" s="222">
        <f>$E$29</f>
        <v>0</v>
      </c>
      <c r="T29" s="222"/>
      <c r="U29" s="222">
        <f>$E$29</f>
        <v>0</v>
      </c>
      <c r="V29" s="222"/>
      <c r="W29" s="222">
        <f>$E$29</f>
        <v>0</v>
      </c>
      <c r="X29" s="222"/>
      <c r="Y29" s="222">
        <f>$E$29</f>
        <v>0</v>
      </c>
      <c r="Z29" s="222"/>
      <c r="AA29" s="222">
        <f>$E$29</f>
        <v>0</v>
      </c>
      <c r="AB29" s="222"/>
      <c r="AC29" s="222">
        <f>$E$29</f>
        <v>0</v>
      </c>
      <c r="AD29" s="222"/>
      <c r="AE29" s="222">
        <f>$E$29</f>
        <v>0</v>
      </c>
      <c r="AF29" s="222"/>
      <c r="AG29" s="222">
        <f>$E$29</f>
        <v>0</v>
      </c>
    </row>
    <row r="30" spans="1:33" s="210" customFormat="1" ht="14.25">
      <c r="A30" s="210" t="s">
        <v>844</v>
      </c>
      <c r="C30" s="237">
        <v>1.02</v>
      </c>
      <c r="E30" s="222">
        <f>Application!AC900</f>
        <v>0</v>
      </c>
      <c r="F30" s="222"/>
      <c r="G30" s="222">
        <f>E30*$C$30</f>
        <v>0</v>
      </c>
      <c r="H30" s="222"/>
      <c r="I30" s="222">
        <f>G30*$C$30</f>
        <v>0</v>
      </c>
      <c r="J30" s="222"/>
      <c r="K30" s="222">
        <f>I30*$C$30</f>
        <v>0</v>
      </c>
      <c r="L30" s="222"/>
      <c r="M30" s="222">
        <f>K30*$C$30</f>
        <v>0</v>
      </c>
      <c r="N30" s="222"/>
      <c r="O30" s="222">
        <f>M30*$C$30</f>
        <v>0</v>
      </c>
      <c r="P30" s="222"/>
      <c r="Q30" s="222">
        <f>O30*$C$30</f>
        <v>0</v>
      </c>
      <c r="R30" s="222"/>
      <c r="S30" s="222">
        <f>Q30*$C$30</f>
        <v>0</v>
      </c>
      <c r="T30" s="222"/>
      <c r="U30" s="222">
        <f>S30*$C$30</f>
        <v>0</v>
      </c>
      <c r="V30" s="222"/>
      <c r="W30" s="222">
        <f>U30*$C$30</f>
        <v>0</v>
      </c>
      <c r="X30" s="222"/>
      <c r="Y30" s="222">
        <f>W30*$C$30</f>
        <v>0</v>
      </c>
      <c r="Z30" s="222"/>
      <c r="AA30" s="222">
        <f>Y30*$C$30</f>
        <v>0</v>
      </c>
      <c r="AB30" s="222"/>
      <c r="AC30" s="222">
        <f>AA30*$C$30</f>
        <v>0</v>
      </c>
      <c r="AD30" s="222"/>
      <c r="AE30" s="222">
        <f>AC30*$C$30</f>
        <v>0</v>
      </c>
      <c r="AF30" s="222"/>
      <c r="AG30" s="222">
        <f>AE30*$C$30</f>
        <v>0</v>
      </c>
    </row>
    <row r="31" spans="1:33" s="210" customFormat="1" ht="14.25">
      <c r="A31" s="210" t="s">
        <v>1670</v>
      </c>
      <c r="C31" s="237">
        <v>1.02</v>
      </c>
      <c r="E31" s="222">
        <f>Application!AC902</f>
        <v>0</v>
      </c>
      <c r="F31" s="222"/>
      <c r="G31" s="222">
        <f>E31*$C$31</f>
        <v>0</v>
      </c>
      <c r="H31" s="222"/>
      <c r="I31" s="222">
        <f>G31*$C$31</f>
        <v>0</v>
      </c>
      <c r="J31" s="222"/>
      <c r="K31" s="222">
        <f>I31*$C$31</f>
        <v>0</v>
      </c>
      <c r="L31" s="222"/>
      <c r="M31" s="222">
        <f>K31*$C$31</f>
        <v>0</v>
      </c>
      <c r="N31" s="222"/>
      <c r="O31" s="222">
        <f>M31*$C$31</f>
        <v>0</v>
      </c>
      <c r="P31" s="222"/>
      <c r="Q31" s="222">
        <f>O31*$C$31</f>
        <v>0</v>
      </c>
      <c r="R31" s="222"/>
      <c r="S31" s="222">
        <f>Q31*$C$31</f>
        <v>0</v>
      </c>
      <c r="T31" s="222"/>
      <c r="U31" s="222">
        <f>S31*$C$31</f>
        <v>0</v>
      </c>
      <c r="V31" s="222"/>
      <c r="W31" s="222">
        <f>U31*$C$31</f>
        <v>0</v>
      </c>
      <c r="X31" s="222"/>
      <c r="Y31" s="222">
        <f>W31*$C$31</f>
        <v>0</v>
      </c>
      <c r="Z31" s="222"/>
      <c r="AA31" s="222">
        <f>Y31*$C$31</f>
        <v>0</v>
      </c>
      <c r="AB31" s="222"/>
      <c r="AC31" s="222">
        <f>AA31*$C$31</f>
        <v>0</v>
      </c>
      <c r="AD31" s="222"/>
      <c r="AE31" s="222">
        <f>AC31*$C$31</f>
        <v>0</v>
      </c>
      <c r="AF31" s="222"/>
      <c r="AG31" s="222">
        <f>AE31*$C$31</f>
        <v>0</v>
      </c>
    </row>
    <row r="32" spans="1:33" s="210" customFormat="1" ht="14.25">
      <c r="A32" s="210" t="str">
        <f>Application!C903</f>
        <v>Other (Specify):</v>
      </c>
      <c r="C32" s="316">
        <v>1.0349999999999999</v>
      </c>
      <c r="E32" s="222">
        <f>Application!AC903</f>
        <v>0</v>
      </c>
      <c r="F32" s="222"/>
      <c r="G32" s="222">
        <f>E32*$C$32</f>
        <v>0</v>
      </c>
      <c r="H32" s="222"/>
      <c r="I32" s="222">
        <f>G32*$C$32</f>
        <v>0</v>
      </c>
      <c r="J32" s="222"/>
      <c r="K32" s="222">
        <f>I32*$C$32</f>
        <v>0</v>
      </c>
      <c r="L32" s="222"/>
      <c r="M32" s="222">
        <f>K32*$C$32</f>
        <v>0</v>
      </c>
      <c r="N32" s="222"/>
      <c r="O32" s="222">
        <f>M32*$C$32</f>
        <v>0</v>
      </c>
      <c r="P32" s="222"/>
      <c r="Q32" s="222">
        <f>O32*$C$32</f>
        <v>0</v>
      </c>
      <c r="R32" s="222"/>
      <c r="S32" s="222">
        <f>Q32*$C$32</f>
        <v>0</v>
      </c>
      <c r="T32" s="222"/>
      <c r="U32" s="222">
        <f>S32*$C$32</f>
        <v>0</v>
      </c>
      <c r="V32" s="222"/>
      <c r="W32" s="222">
        <f>U32*$C$32</f>
        <v>0</v>
      </c>
      <c r="X32" s="222"/>
      <c r="Y32" s="222">
        <f>W32*$C$32</f>
        <v>0</v>
      </c>
      <c r="Z32" s="222"/>
      <c r="AA32" s="222">
        <f>Y32*$C$32</f>
        <v>0</v>
      </c>
      <c r="AB32" s="222"/>
      <c r="AC32" s="222">
        <f>AA32*$C$32</f>
        <v>0</v>
      </c>
      <c r="AD32" s="222"/>
      <c r="AE32" s="222">
        <f>AC32*$C$32</f>
        <v>0</v>
      </c>
      <c r="AF32" s="222"/>
      <c r="AG32" s="222">
        <f>AE32*$C$32</f>
        <v>0</v>
      </c>
    </row>
    <row r="33" spans="1:33" s="210" customFormat="1" ht="14.25">
      <c r="A33" s="210" t="str">
        <f>Application!C904</f>
        <v>Other (Specify):</v>
      </c>
      <c r="C33" s="316">
        <v>1.0349999999999999</v>
      </c>
      <c r="E33" s="222">
        <f>Application!AC904</f>
        <v>0</v>
      </c>
      <c r="F33" s="222"/>
      <c r="G33" s="222">
        <f>E33*$C$33</f>
        <v>0</v>
      </c>
      <c r="H33" s="222"/>
      <c r="I33" s="222">
        <f>G33*$C$33</f>
        <v>0</v>
      </c>
      <c r="J33" s="222"/>
      <c r="K33" s="222">
        <f>I33*$C$33</f>
        <v>0</v>
      </c>
      <c r="L33" s="222"/>
      <c r="M33" s="222">
        <f>K33*$C$33</f>
        <v>0</v>
      </c>
      <c r="N33" s="222"/>
      <c r="O33" s="222">
        <f>M33*$C$33</f>
        <v>0</v>
      </c>
      <c r="P33" s="222"/>
      <c r="Q33" s="222">
        <f>O33*$C$33</f>
        <v>0</v>
      </c>
      <c r="R33" s="222"/>
      <c r="S33" s="222">
        <f>Q33*$C$33</f>
        <v>0</v>
      </c>
      <c r="T33" s="222"/>
      <c r="U33" s="222">
        <f>S33*$C$33</f>
        <v>0</v>
      </c>
      <c r="V33" s="222"/>
      <c r="W33" s="222">
        <f>U33*$C$33</f>
        <v>0</v>
      </c>
      <c r="X33" s="222"/>
      <c r="Y33" s="222">
        <f>W33*$C$33</f>
        <v>0</v>
      </c>
      <c r="Z33" s="222"/>
      <c r="AA33" s="222">
        <f>Y33*$C$33</f>
        <v>0</v>
      </c>
      <c r="AB33" s="222"/>
      <c r="AC33" s="222">
        <f>AA33*$C$33</f>
        <v>0</v>
      </c>
      <c r="AD33" s="222"/>
      <c r="AE33" s="222">
        <f>AC33*$C$33</f>
        <v>0</v>
      </c>
      <c r="AF33" s="222"/>
      <c r="AG33" s="222">
        <f>AE33*$C$33</f>
        <v>0</v>
      </c>
    </row>
    <row r="34" spans="1:33" s="210" customFormat="1" ht="14.25">
      <c r="C34" s="220"/>
      <c r="E34" s="222"/>
      <c r="F34" s="222"/>
      <c r="G34" s="222"/>
      <c r="H34" s="222"/>
      <c r="I34" s="222"/>
      <c r="J34" s="222"/>
      <c r="K34" s="222"/>
      <c r="L34" s="222"/>
      <c r="M34" s="222"/>
      <c r="N34" s="222"/>
      <c r="O34" s="222"/>
      <c r="P34" s="222"/>
      <c r="Q34" s="222"/>
      <c r="R34" s="222"/>
      <c r="S34" s="222"/>
      <c r="T34" s="222"/>
      <c r="U34" s="222"/>
      <c r="V34" s="222"/>
      <c r="W34" s="222"/>
      <c r="X34" s="222"/>
      <c r="Y34" s="222"/>
      <c r="Z34" s="222"/>
      <c r="AA34" s="222"/>
      <c r="AB34" s="222"/>
      <c r="AC34" s="222"/>
      <c r="AD34" s="222"/>
      <c r="AE34" s="222"/>
      <c r="AF34" s="222"/>
      <c r="AG34" s="222"/>
    </row>
    <row r="35" spans="1:33" s="223" customFormat="1" ht="15">
      <c r="A35" s="223" t="s">
        <v>178</v>
      </c>
      <c r="C35" s="224"/>
      <c r="E35" s="223">
        <f>SUM(E22:E33)</f>
        <v>333460</v>
      </c>
      <c r="G35" s="223">
        <f>SUM(G22:G33)</f>
        <v>344702.35</v>
      </c>
      <c r="I35" s="223">
        <f>SUM(I22:I33)</f>
        <v>356338.18224999995</v>
      </c>
      <c r="K35" s="223">
        <f>SUM(K22:K33)</f>
        <v>368381.26862874994</v>
      </c>
      <c r="M35" s="223">
        <f>SUM(M22:M33)</f>
        <v>380845.86303075613</v>
      </c>
      <c r="O35" s="223">
        <f>SUM(O22:O33)</f>
        <v>393746.71823683259</v>
      </c>
      <c r="Q35" s="223">
        <f>SUM(Q22:Q33)</f>
        <v>407099.10337512166</v>
      </c>
      <c r="S35" s="223">
        <f>SUM(S22:S33)</f>
        <v>420918.82199325098</v>
      </c>
      <c r="U35" s="223">
        <f>SUM(U22:U33)</f>
        <v>435222.23076301464</v>
      </c>
      <c r="W35" s="223">
        <f>SUM(W22:W33)</f>
        <v>450026.25883972022</v>
      </c>
      <c r="Y35" s="223">
        <f>SUM(Y22:Y33)</f>
        <v>465348.42789911031</v>
      </c>
      <c r="AA35" s="223">
        <f>SUM(AA22:AA33)</f>
        <v>481206.87287557923</v>
      </c>
      <c r="AC35" s="223">
        <f>SUM(AC22:AC33)</f>
        <v>497620.36342622444</v>
      </c>
      <c r="AE35" s="223">
        <f>SUM(AE22:AE33)</f>
        <v>514608.32614614227</v>
      </c>
      <c r="AG35" s="223">
        <f>SUM(AG22:AG33)</f>
        <v>532190.86756125721</v>
      </c>
    </row>
    <row r="36" spans="1:33" s="210" customFormat="1" ht="14.25">
      <c r="C36" s="220"/>
      <c r="E36" s="222"/>
      <c r="F36" s="222"/>
      <c r="G36" s="222"/>
      <c r="H36" s="222"/>
      <c r="I36" s="222"/>
      <c r="J36" s="222"/>
      <c r="K36" s="222"/>
      <c r="L36" s="222"/>
      <c r="M36" s="222"/>
      <c r="N36" s="222"/>
      <c r="O36" s="222"/>
      <c r="P36" s="222"/>
      <c r="Q36" s="222"/>
      <c r="R36" s="222"/>
      <c r="S36" s="222"/>
      <c r="T36" s="222"/>
      <c r="U36" s="222"/>
      <c r="V36" s="222"/>
      <c r="W36" s="222"/>
      <c r="X36" s="222"/>
      <c r="Y36" s="222"/>
      <c r="Z36" s="222"/>
      <c r="AA36" s="222"/>
      <c r="AB36" s="222"/>
      <c r="AC36" s="222"/>
      <c r="AD36" s="222"/>
      <c r="AE36" s="222"/>
      <c r="AF36" s="222"/>
      <c r="AG36" s="222"/>
    </row>
    <row r="37" spans="1:33" s="223" customFormat="1" ht="15">
      <c r="A37" s="223" t="s">
        <v>847</v>
      </c>
      <c r="C37" s="224"/>
      <c r="E37" s="223">
        <f>E11-E35</f>
        <v>614833.79999999993</v>
      </c>
      <c r="G37" s="223">
        <f>G11-G35</f>
        <v>627298.79499999993</v>
      </c>
      <c r="I37" s="223">
        <f>I11-I35</f>
        <v>639962.99137499998</v>
      </c>
      <c r="K37" s="223">
        <f>K11-K35</f>
        <v>652827.43433687487</v>
      </c>
      <c r="M37" s="223">
        <f>M11-M35</f>
        <v>665893.05750900914</v>
      </c>
      <c r="O37" s="223">
        <f>O11-O35</f>
        <v>679160.67531642667</v>
      </c>
      <c r="Q37" s="223">
        <f>Q11-Q35</f>
        <v>692630.97501696856</v>
      </c>
      <c r="S37" s="223">
        <f>S11-S35</f>
        <v>706304.50835864164</v>
      </c>
      <c r="U37" s="223">
        <f>U11-U35</f>
        <v>720181.68284767494</v>
      </c>
      <c r="W37" s="223">
        <f>W11-W35</f>
        <v>734262.75261123688</v>
      </c>
      <c r="Y37" s="223">
        <f>Y11-Y35</f>
        <v>748547.80883812043</v>
      </c>
      <c r="AA37" s="223">
        <f>AA11-AA35</f>
        <v>763036.7697800824</v>
      </c>
      <c r="AC37" s="223">
        <f>AC11-AC35</f>
        <v>777729.37029582856</v>
      </c>
      <c r="AE37" s="223">
        <f>AE11-AE35</f>
        <v>792625.15091896174</v>
      </c>
      <c r="AG37" s="223">
        <f>AG11-AG35</f>
        <v>807723.44643047429</v>
      </c>
    </row>
    <row r="38" spans="1:33" s="210" customFormat="1" ht="14.25">
      <c r="C38" s="220"/>
      <c r="E38" s="222"/>
      <c r="F38" s="222"/>
      <c r="G38" s="222"/>
      <c r="H38" s="222"/>
      <c r="I38" s="222"/>
      <c r="J38" s="222"/>
      <c r="K38" s="222"/>
      <c r="L38" s="222"/>
      <c r="M38" s="222"/>
      <c r="N38" s="222"/>
      <c r="O38" s="222"/>
      <c r="P38" s="222"/>
      <c r="Q38" s="222"/>
      <c r="R38" s="222"/>
      <c r="S38" s="222"/>
      <c r="T38" s="222"/>
      <c r="U38" s="222"/>
      <c r="V38" s="222"/>
      <c r="W38" s="222"/>
      <c r="X38" s="222"/>
      <c r="Y38" s="222"/>
      <c r="Z38" s="222"/>
      <c r="AA38" s="222"/>
      <c r="AB38" s="222"/>
      <c r="AC38" s="222"/>
      <c r="AD38" s="222"/>
      <c r="AE38" s="222"/>
      <c r="AF38" s="222"/>
      <c r="AG38" s="222"/>
    </row>
    <row r="39" spans="1:33" s="210" customFormat="1" ht="15">
      <c r="A39" s="218" t="s">
        <v>860</v>
      </c>
      <c r="C39" s="220"/>
      <c r="E39" s="222"/>
      <c r="F39" s="222"/>
      <c r="G39" s="222"/>
      <c r="H39" s="222"/>
      <c r="I39" s="222"/>
      <c r="J39" s="222"/>
      <c r="K39" s="222"/>
      <c r="L39" s="222"/>
      <c r="M39" s="222"/>
      <c r="N39" s="222"/>
      <c r="O39" s="222"/>
      <c r="P39" s="222"/>
      <c r="Q39" s="222"/>
      <c r="R39" s="222"/>
      <c r="S39" s="222"/>
      <c r="T39" s="222"/>
      <c r="U39" s="222"/>
      <c r="V39" s="222"/>
      <c r="W39" s="222"/>
      <c r="X39" s="222"/>
      <c r="Y39" s="222"/>
      <c r="Z39" s="222"/>
      <c r="AA39" s="222"/>
      <c r="AB39" s="222"/>
      <c r="AC39" s="222"/>
      <c r="AD39" s="222"/>
      <c r="AE39" s="222"/>
      <c r="AF39" s="222"/>
      <c r="AG39" s="222"/>
    </row>
    <row r="40" spans="1:33" s="210" customFormat="1" ht="14.25">
      <c r="A40" s="225" t="str">
        <f>Application!C635</f>
        <v>Citi Bank Permanent Loan</v>
      </c>
      <c r="B40" s="226"/>
      <c r="C40" s="220"/>
      <c r="E40" s="222">
        <f>Application!AF635</f>
        <v>534638</v>
      </c>
      <c r="F40" s="222"/>
      <c r="G40" s="222">
        <f>$E$40</f>
        <v>534638</v>
      </c>
      <c r="H40" s="222"/>
      <c r="I40" s="222">
        <f>$E$40</f>
        <v>534638</v>
      </c>
      <c r="J40" s="222"/>
      <c r="K40" s="222">
        <f>$E$40</f>
        <v>534638</v>
      </c>
      <c r="L40" s="222"/>
      <c r="M40" s="222">
        <f>$E$40</f>
        <v>534638</v>
      </c>
      <c r="N40" s="222"/>
      <c r="O40" s="222">
        <f>$E$40</f>
        <v>534638</v>
      </c>
      <c r="P40" s="222"/>
      <c r="Q40" s="222">
        <f>$E$40</f>
        <v>534638</v>
      </c>
      <c r="R40" s="222"/>
      <c r="S40" s="222">
        <f>$E$40</f>
        <v>534638</v>
      </c>
      <c r="T40" s="222"/>
      <c r="U40" s="222">
        <f>$E$40</f>
        <v>534638</v>
      </c>
      <c r="V40" s="222"/>
      <c r="W40" s="222">
        <f>$E$40</f>
        <v>534638</v>
      </c>
      <c r="X40" s="222"/>
      <c r="Y40" s="222">
        <f>$E$40</f>
        <v>534638</v>
      </c>
      <c r="Z40" s="222"/>
      <c r="AA40" s="222">
        <f>$E$40</f>
        <v>534638</v>
      </c>
      <c r="AB40" s="222"/>
      <c r="AC40" s="222">
        <f>$E$40</f>
        <v>534638</v>
      </c>
      <c r="AD40" s="222"/>
      <c r="AE40" s="222">
        <f>$E$40</f>
        <v>534638</v>
      </c>
      <c r="AF40" s="222"/>
      <c r="AG40" s="222">
        <f>$E$40</f>
        <v>534638</v>
      </c>
    </row>
    <row r="41" spans="1:33" s="210" customFormat="1" ht="14.25">
      <c r="A41" s="225"/>
      <c r="B41" s="226"/>
      <c r="C41" s="220"/>
      <c r="E41" s="222"/>
      <c r="F41" s="222"/>
      <c r="G41" s="222">
        <f>$E$41</f>
        <v>0</v>
      </c>
      <c r="H41" s="222"/>
      <c r="I41" s="222">
        <f>$E$41</f>
        <v>0</v>
      </c>
      <c r="J41" s="222"/>
      <c r="K41" s="222">
        <f>$E$41</f>
        <v>0</v>
      </c>
      <c r="L41" s="222"/>
      <c r="M41" s="222">
        <f>$E$41</f>
        <v>0</v>
      </c>
      <c r="N41" s="222"/>
      <c r="O41" s="222">
        <f>$E$41</f>
        <v>0</v>
      </c>
      <c r="P41" s="222"/>
      <c r="Q41" s="222">
        <f>$E$41</f>
        <v>0</v>
      </c>
      <c r="R41" s="222"/>
      <c r="S41" s="222">
        <f>$E$41</f>
        <v>0</v>
      </c>
      <c r="T41" s="222"/>
      <c r="U41" s="222">
        <f>$E$41</f>
        <v>0</v>
      </c>
      <c r="V41" s="222"/>
      <c r="W41" s="222">
        <f>$E$41</f>
        <v>0</v>
      </c>
      <c r="X41" s="222"/>
      <c r="Y41" s="222">
        <f>$E$41</f>
        <v>0</v>
      </c>
      <c r="Z41" s="222"/>
      <c r="AA41" s="222">
        <f>$E$41</f>
        <v>0</v>
      </c>
      <c r="AB41" s="222"/>
      <c r="AC41" s="222">
        <f>$E$41</f>
        <v>0</v>
      </c>
      <c r="AD41" s="222"/>
      <c r="AE41" s="222">
        <f>$E$41</f>
        <v>0</v>
      </c>
      <c r="AF41" s="222"/>
      <c r="AG41" s="222">
        <f>$E$41</f>
        <v>0</v>
      </c>
    </row>
    <row r="42" spans="1:33" s="210" customFormat="1" ht="14.25">
      <c r="A42" s="225"/>
      <c r="B42" s="226"/>
      <c r="C42" s="220"/>
      <c r="E42" s="232"/>
      <c r="F42" s="222"/>
      <c r="G42" s="232">
        <f>$E$42</f>
        <v>0</v>
      </c>
      <c r="H42" s="222"/>
      <c r="I42" s="232">
        <f>$E$42</f>
        <v>0</v>
      </c>
      <c r="J42" s="222"/>
      <c r="K42" s="232">
        <f>$E$42</f>
        <v>0</v>
      </c>
      <c r="L42" s="222"/>
      <c r="M42" s="232">
        <f>$E$42</f>
        <v>0</v>
      </c>
      <c r="N42" s="222"/>
      <c r="O42" s="232">
        <f>$E$42</f>
        <v>0</v>
      </c>
      <c r="P42" s="222"/>
      <c r="Q42" s="232">
        <f>$E$42</f>
        <v>0</v>
      </c>
      <c r="R42" s="222"/>
      <c r="S42" s="232">
        <f>$E$42</f>
        <v>0</v>
      </c>
      <c r="T42" s="222"/>
      <c r="U42" s="232">
        <f>$E$42</f>
        <v>0</v>
      </c>
      <c r="V42" s="222"/>
      <c r="W42" s="232">
        <f>$E$42</f>
        <v>0</v>
      </c>
      <c r="X42" s="222"/>
      <c r="Y42" s="232">
        <f>$E$42</f>
        <v>0</v>
      </c>
      <c r="Z42" s="222"/>
      <c r="AA42" s="232">
        <f>$E$42</f>
        <v>0</v>
      </c>
      <c r="AB42" s="222"/>
      <c r="AC42" s="232">
        <f>$E$42</f>
        <v>0</v>
      </c>
      <c r="AD42" s="222"/>
      <c r="AE42" s="232">
        <f>$E$42</f>
        <v>0</v>
      </c>
      <c r="AF42" s="222"/>
      <c r="AG42" s="232">
        <f>$E$42</f>
        <v>0</v>
      </c>
    </row>
    <row r="43" spans="1:33" s="223" customFormat="1" ht="15">
      <c r="A43" s="223" t="s">
        <v>848</v>
      </c>
      <c r="C43" s="224"/>
      <c r="E43" s="223">
        <f>SUM(E40:E42)</f>
        <v>534638</v>
      </c>
      <c r="G43" s="223">
        <f>SUM(G40:G42)</f>
        <v>534638</v>
      </c>
      <c r="I43" s="223">
        <f>SUM(I40:I42)</f>
        <v>534638</v>
      </c>
      <c r="K43" s="223">
        <f>SUM(K40:K42)</f>
        <v>534638</v>
      </c>
      <c r="M43" s="223">
        <f>SUM(M40:M42)</f>
        <v>534638</v>
      </c>
      <c r="O43" s="223">
        <f>SUM(O40:O42)</f>
        <v>534638</v>
      </c>
      <c r="Q43" s="223">
        <f>SUM(Q40:Q42)</f>
        <v>534638</v>
      </c>
      <c r="S43" s="223">
        <f>SUM(S40:S42)</f>
        <v>534638</v>
      </c>
      <c r="U43" s="223">
        <f>SUM(U40:U42)</f>
        <v>534638</v>
      </c>
      <c r="W43" s="223">
        <f>SUM(W40:W42)</f>
        <v>534638</v>
      </c>
      <c r="Y43" s="223">
        <f>SUM(Y40:Y42)</f>
        <v>534638</v>
      </c>
      <c r="AA43" s="223">
        <f>SUM(AA40:AA42)</f>
        <v>534638</v>
      </c>
      <c r="AC43" s="223">
        <f>SUM(AC40:AC42)</f>
        <v>534638</v>
      </c>
      <c r="AE43" s="223">
        <f>SUM(AE40:AE42)</f>
        <v>534638</v>
      </c>
      <c r="AG43" s="223">
        <f>SUM(AG40:AG42)</f>
        <v>534638</v>
      </c>
    </row>
    <row r="44" spans="1:33" s="210" customFormat="1" ht="14.25">
      <c r="C44" s="220"/>
      <c r="E44" s="222"/>
      <c r="F44" s="222"/>
      <c r="G44" s="222"/>
      <c r="H44" s="222"/>
      <c r="I44" s="222"/>
      <c r="J44" s="222"/>
      <c r="K44" s="222"/>
      <c r="L44" s="222"/>
      <c r="M44" s="222"/>
      <c r="N44" s="222"/>
      <c r="O44" s="222"/>
      <c r="P44" s="222"/>
      <c r="Q44" s="222"/>
      <c r="R44" s="222"/>
      <c r="S44" s="222"/>
      <c r="T44" s="222"/>
      <c r="U44" s="222"/>
      <c r="V44" s="222"/>
      <c r="W44" s="222"/>
      <c r="X44" s="222"/>
      <c r="Y44" s="222"/>
      <c r="Z44" s="222"/>
      <c r="AA44" s="222"/>
      <c r="AB44" s="222"/>
      <c r="AC44" s="222"/>
      <c r="AD44" s="222"/>
      <c r="AE44" s="222"/>
      <c r="AF44" s="222"/>
      <c r="AG44" s="222"/>
    </row>
    <row r="45" spans="1:33" s="223" customFormat="1" ht="15">
      <c r="A45" s="223" t="s">
        <v>849</v>
      </c>
      <c r="C45" s="224"/>
      <c r="E45" s="223">
        <f>E37-E43</f>
        <v>80195.79999999993</v>
      </c>
      <c r="G45" s="223">
        <f>G37-G43</f>
        <v>92660.794999999925</v>
      </c>
      <c r="I45" s="223">
        <f>I37-I43</f>
        <v>105324.99137499998</v>
      </c>
      <c r="K45" s="223">
        <f>K37-K43</f>
        <v>118189.43433687487</v>
      </c>
      <c r="M45" s="223">
        <f>M37-M43</f>
        <v>131255.05750900914</v>
      </c>
      <c r="O45" s="223">
        <f>O37-O43</f>
        <v>144522.67531642667</v>
      </c>
      <c r="Q45" s="223">
        <f>Q37-Q43</f>
        <v>157992.97501696856</v>
      </c>
      <c r="S45" s="223">
        <f>S37-S43</f>
        <v>171666.50835864164</v>
      </c>
      <c r="U45" s="223">
        <f>U37-U43</f>
        <v>185543.68284767494</v>
      </c>
      <c r="W45" s="223">
        <f>W37-W43</f>
        <v>199624.75261123688</v>
      </c>
      <c r="Y45" s="223">
        <f>Y37-Y43</f>
        <v>213909.80883812043</v>
      </c>
      <c r="AA45" s="223">
        <f>AA37-AA43</f>
        <v>228398.7697800824</v>
      </c>
      <c r="AC45" s="223">
        <f>AC37-AC43</f>
        <v>243091.37029582856</v>
      </c>
      <c r="AE45" s="223">
        <f>AE37-AE43</f>
        <v>257987.15091896174</v>
      </c>
      <c r="AG45" s="223">
        <f>AG37-AG43</f>
        <v>273085.44643047429</v>
      </c>
    </row>
    <row r="46" spans="1:33" s="210" customFormat="1" ht="14.25">
      <c r="C46" s="220"/>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222"/>
      <c r="AE46" s="222"/>
      <c r="AF46" s="222"/>
      <c r="AG46" s="222"/>
    </row>
    <row r="47" spans="1:33" s="227" customFormat="1" ht="14.25">
      <c r="A47" s="227" t="s">
        <v>851</v>
      </c>
      <c r="C47" s="220"/>
      <c r="E47" s="227">
        <f>E45/(E4+E6+E8)</f>
        <v>8.034009080308227E-2</v>
      </c>
      <c r="G47" s="227">
        <f>G45/(G4+G6+G8)</f>
        <v>9.0563427525592002E-2</v>
      </c>
      <c r="I47" s="227">
        <f>I45/(I4+I6+I8)</f>
        <v>0.10043021573706519</v>
      </c>
      <c r="K47" s="227">
        <f>K45/(K4+K6+K8)</f>
        <v>0.1099481059003574</v>
      </c>
      <c r="M47" s="227">
        <f>M45/(M4+M6+M8)</f>
        <v>0.11912455167833007</v>
      </c>
      <c r="O47" s="227">
        <f>O45/(O4+O6+O8)</f>
        <v>0.12796681463430509</v>
      </c>
      <c r="Q47" s="227">
        <f>Q45/(Q4+Q6+Q8)</f>
        <v>0.1364819688169035</v>
      </c>
      <c r="S47" s="227">
        <f>S45/(S4+S6+S8)</f>
        <v>0.14467690523207929</v>
      </c>
      <c r="U47" s="227">
        <f>U45/(U4+U6+U8)</f>
        <v>0.15255833620508552</v>
      </c>
      <c r="W47" s="227">
        <f>W45/(W4+W6+W8)</f>
        <v>0.16013279963505633</v>
      </c>
      <c r="Y47" s="227">
        <f>Y45/(Y4+Y6+Y8)</f>
        <v>0.16740666314480365</v>
      </c>
      <c r="AA47" s="227">
        <f>AA45/(AA4+AA6+AA8)</f>
        <v>0.17438612812838469</v>
      </c>
      <c r="AC47" s="227">
        <f>AC45/(AC4+AC6+AC8)</f>
        <v>0.18107723369891493</v>
      </c>
      <c r="AE47" s="227">
        <f>AE45/(AE4+AE6+AE8)</f>
        <v>0.18748586053905619</v>
      </c>
      <c r="AG47" s="227">
        <f>AG45/(AG4+AG6+AG8)</f>
        <v>0.19361773465653975</v>
      </c>
    </row>
    <row r="48" spans="1:33" s="227" customFormat="1" ht="14.25">
      <c r="A48" s="227" t="s">
        <v>852</v>
      </c>
      <c r="C48" s="220"/>
      <c r="E48" s="227">
        <f>E45/E43</f>
        <v>0.15000018704244727</v>
      </c>
      <c r="G48" s="227">
        <f>G45/G43</f>
        <v>0.17331501876035735</v>
      </c>
      <c r="I48" s="227">
        <f>I45/I43</f>
        <v>0.19700244160534788</v>
      </c>
      <c r="K48" s="227">
        <f>K45/K43</f>
        <v>0.22106441056729015</v>
      </c>
      <c r="M48" s="227">
        <f>M45/M43</f>
        <v>0.24550267191821221</v>
      </c>
      <c r="O48" s="227">
        <f>O45/O43</f>
        <v>0.27031874897861108</v>
      </c>
      <c r="Q48" s="227">
        <f>Q45/Q43</f>
        <v>0.2955139272123728</v>
      </c>
      <c r="S48" s="227">
        <f>S45/S43</f>
        <v>0.32108923862247285</v>
      </c>
      <c r="U48" s="227">
        <f>U45/U43</f>
        <v>0.34704544541853544</v>
      </c>
      <c r="W48" s="227">
        <f>W45/W43</f>
        <v>0.37338302292623582</v>
      </c>
      <c r="Y48" s="227">
        <f>Y45/Y43</f>
        <v>0.40010214170732428</v>
      </c>
      <c r="AA48" s="227">
        <f>AA45/AA43</f>
        <v>0.42720264885788589</v>
      </c>
      <c r="AC48" s="227">
        <f>AC45/AC43</f>
        <v>0.4546840484511549</v>
      </c>
      <c r="AE48" s="227">
        <f>AE45/AE43</f>
        <v>0.482545481089937</v>
      </c>
      <c r="AG48" s="227">
        <f>AG45/AG43</f>
        <v>0.51078570253231959</v>
      </c>
    </row>
    <row r="49" spans="1:34" s="228" customFormat="1" ht="14.25">
      <c r="A49" s="228" t="s">
        <v>850</v>
      </c>
      <c r="C49" s="229"/>
      <c r="E49" s="228">
        <f>E37/E43</f>
        <v>1.1500001870424472</v>
      </c>
      <c r="G49" s="228">
        <f>G37/G43</f>
        <v>1.1733150187603574</v>
      </c>
      <c r="I49" s="228">
        <f>I37/I43</f>
        <v>1.197002441605348</v>
      </c>
      <c r="K49" s="228">
        <f>K37/K43</f>
        <v>1.2210644105672901</v>
      </c>
      <c r="M49" s="228">
        <f>M37/M43</f>
        <v>1.2455026719182123</v>
      </c>
      <c r="O49" s="228">
        <f>O37/O43</f>
        <v>1.2703187489786112</v>
      </c>
      <c r="Q49" s="228">
        <f>Q37/Q43</f>
        <v>1.2955139272123728</v>
      </c>
      <c r="S49" s="228">
        <f>S37/S43</f>
        <v>1.3210892386224729</v>
      </c>
      <c r="U49" s="228">
        <f>U37/U43</f>
        <v>1.3470454454185354</v>
      </c>
      <c r="W49" s="228">
        <f>W37/W43</f>
        <v>1.3733830229262358</v>
      </c>
      <c r="Y49" s="228">
        <f>Y37/Y43</f>
        <v>1.4001021417073243</v>
      </c>
      <c r="AA49" s="228">
        <f>AA37/AA43</f>
        <v>1.4272026488578859</v>
      </c>
      <c r="AC49" s="228">
        <f>AC37/AC43</f>
        <v>1.454684048451155</v>
      </c>
      <c r="AE49" s="228">
        <f>AE37/AE43</f>
        <v>1.482545481089937</v>
      </c>
      <c r="AG49" s="228">
        <f>AG37/AG43</f>
        <v>1.5107857025323197</v>
      </c>
    </row>
    <row r="50" spans="1:34" s="210" customFormat="1" ht="14.25">
      <c r="A50" s="230"/>
      <c r="B50" s="230"/>
      <c r="C50" s="231"/>
      <c r="D50" s="230"/>
      <c r="E50" s="232"/>
      <c r="F50" s="232"/>
      <c r="G50" s="232"/>
      <c r="H50" s="232"/>
      <c r="I50" s="232"/>
      <c r="J50" s="232"/>
      <c r="K50" s="232"/>
      <c r="L50" s="232"/>
      <c r="M50" s="232"/>
      <c r="N50" s="232"/>
      <c r="O50" s="232"/>
      <c r="P50" s="232"/>
      <c r="Q50" s="232"/>
      <c r="R50" s="232"/>
      <c r="S50" s="232"/>
      <c r="T50" s="232"/>
      <c r="U50" s="232"/>
      <c r="V50" s="232"/>
      <c r="W50" s="232"/>
      <c r="X50" s="232"/>
      <c r="Y50" s="232"/>
      <c r="Z50" s="232"/>
      <c r="AA50" s="232"/>
      <c r="AB50" s="232"/>
      <c r="AC50" s="232"/>
      <c r="AD50" s="232"/>
      <c r="AE50" s="232"/>
      <c r="AF50" s="232"/>
      <c r="AG50" s="232"/>
    </row>
    <row r="51" spans="1:34" s="3" customFormat="1">
      <c r="A51" s="3" t="s">
        <v>862</v>
      </c>
      <c r="C51" s="957"/>
      <c r="E51" s="956"/>
      <c r="F51" s="956"/>
      <c r="G51" s="956"/>
      <c r="H51" s="956"/>
      <c r="I51" s="956"/>
      <c r="J51" s="956"/>
      <c r="K51" s="956"/>
      <c r="L51" s="956"/>
      <c r="M51" s="956"/>
      <c r="N51" s="956"/>
      <c r="O51" s="956"/>
      <c r="P51" s="956"/>
      <c r="Q51" s="956"/>
      <c r="R51" s="956"/>
      <c r="S51" s="956"/>
      <c r="T51" s="956"/>
      <c r="U51" s="956"/>
      <c r="V51" s="956"/>
      <c r="W51" s="956"/>
      <c r="X51" s="956"/>
      <c r="Y51" s="956"/>
      <c r="Z51" s="956"/>
      <c r="AA51" s="956"/>
      <c r="AB51" s="956"/>
      <c r="AC51" s="956"/>
      <c r="AD51" s="956"/>
      <c r="AE51" s="956"/>
      <c r="AF51" s="956"/>
      <c r="AG51" s="956"/>
    </row>
    <row r="52" spans="1:34" s="3" customFormat="1">
      <c r="A52" s="2684" t="s">
        <v>1184</v>
      </c>
      <c r="B52" s="2684"/>
      <c r="C52" s="2684"/>
      <c r="D52" s="956"/>
      <c r="E52" s="956"/>
      <c r="F52" s="956"/>
      <c r="G52" s="956"/>
      <c r="H52" s="956"/>
      <c r="I52" s="956"/>
      <c r="J52" s="956"/>
      <c r="K52" s="956"/>
      <c r="L52" s="956"/>
      <c r="M52" s="956"/>
      <c r="N52" s="956"/>
      <c r="O52" s="956"/>
      <c r="P52" s="956"/>
      <c r="Q52" s="956"/>
      <c r="R52" s="956"/>
      <c r="S52" s="956"/>
      <c r="T52" s="956"/>
      <c r="U52" s="956"/>
      <c r="V52" s="956"/>
      <c r="W52" s="956"/>
      <c r="X52" s="956"/>
      <c r="Y52" s="956"/>
      <c r="Z52" s="956"/>
      <c r="AA52" s="956"/>
      <c r="AB52" s="956"/>
      <c r="AC52" s="956"/>
      <c r="AD52" s="956"/>
      <c r="AE52" s="956"/>
      <c r="AF52" s="956"/>
      <c r="AG52" s="956"/>
    </row>
    <row r="53" spans="1:34" s="958" customFormat="1">
      <c r="A53" s="958" t="s">
        <v>854</v>
      </c>
      <c r="C53" s="959"/>
      <c r="E53" s="960"/>
      <c r="G53" s="956">
        <f>E53*$C$53</f>
        <v>0</v>
      </c>
      <c r="I53" s="956">
        <f>G53*$C$53</f>
        <v>0</v>
      </c>
      <c r="K53" s="956">
        <f>I53*$C$53</f>
        <v>0</v>
      </c>
      <c r="M53" s="956">
        <f>K53*$C$53</f>
        <v>0</v>
      </c>
      <c r="O53" s="956">
        <f>M53*$C$53</f>
        <v>0</v>
      </c>
      <c r="Q53" s="956">
        <f>O53*$C$53</f>
        <v>0</v>
      </c>
      <c r="S53" s="956">
        <f>Q53*$C$53</f>
        <v>0</v>
      </c>
      <c r="U53" s="956">
        <f>S53*$C$53</f>
        <v>0</v>
      </c>
      <c r="W53" s="956">
        <f>U53*$C$53</f>
        <v>0</v>
      </c>
      <c r="Y53" s="956">
        <f>W53*$C$53</f>
        <v>0</v>
      </c>
      <c r="AA53" s="956">
        <f>Y53*$C$53</f>
        <v>0</v>
      </c>
      <c r="AC53" s="956">
        <f>AA53*$C$53</f>
        <v>0</v>
      </c>
      <c r="AE53" s="956">
        <f>AC53*$C$53</f>
        <v>0</v>
      </c>
      <c r="AG53" s="956">
        <f>AE53*$C$53</f>
        <v>0</v>
      </c>
    </row>
    <row r="54" spans="1:34" s="3" customFormat="1">
      <c r="A54" s="3" t="s">
        <v>855</v>
      </c>
      <c r="C54" s="954"/>
      <c r="E54" s="961"/>
      <c r="F54" s="956"/>
      <c r="G54" s="956">
        <f t="shared" ref="G54:AG57" si="1">E54*$C$53</f>
        <v>0</v>
      </c>
      <c r="H54" s="956"/>
      <c r="I54" s="956">
        <f t="shared" si="1"/>
        <v>0</v>
      </c>
      <c r="J54" s="956"/>
      <c r="K54" s="956">
        <f t="shared" si="1"/>
        <v>0</v>
      </c>
      <c r="L54" s="956"/>
      <c r="M54" s="956">
        <f t="shared" si="1"/>
        <v>0</v>
      </c>
      <c r="N54" s="956"/>
      <c r="O54" s="956">
        <f t="shared" si="1"/>
        <v>0</v>
      </c>
      <c r="P54" s="956"/>
      <c r="Q54" s="956">
        <f t="shared" si="1"/>
        <v>0</v>
      </c>
      <c r="R54" s="956"/>
      <c r="S54" s="956">
        <f t="shared" si="1"/>
        <v>0</v>
      </c>
      <c r="T54" s="956"/>
      <c r="U54" s="956">
        <f t="shared" si="1"/>
        <v>0</v>
      </c>
      <c r="V54" s="956"/>
      <c r="W54" s="956">
        <f t="shared" si="1"/>
        <v>0</v>
      </c>
      <c r="X54" s="956"/>
      <c r="Y54" s="956">
        <f t="shared" si="1"/>
        <v>0</v>
      </c>
      <c r="Z54" s="956"/>
      <c r="AA54" s="956">
        <f t="shared" si="1"/>
        <v>0</v>
      </c>
      <c r="AB54" s="956"/>
      <c r="AC54" s="956">
        <f t="shared" si="1"/>
        <v>0</v>
      </c>
      <c r="AD54" s="956"/>
      <c r="AE54" s="956">
        <f t="shared" si="1"/>
        <v>0</v>
      </c>
      <c r="AF54" s="956"/>
      <c r="AG54" s="956">
        <f t="shared" si="1"/>
        <v>0</v>
      </c>
      <c r="AH54" s="956"/>
    </row>
    <row r="55" spans="1:34" s="3" customFormat="1">
      <c r="A55" s="3" t="s">
        <v>856</v>
      </c>
      <c r="C55" s="954"/>
      <c r="E55" s="961"/>
      <c r="F55" s="956"/>
      <c r="G55" s="956">
        <f t="shared" si="1"/>
        <v>0</v>
      </c>
      <c r="H55" s="956"/>
      <c r="I55" s="956">
        <f t="shared" si="1"/>
        <v>0</v>
      </c>
      <c r="J55" s="956"/>
      <c r="K55" s="956">
        <f t="shared" si="1"/>
        <v>0</v>
      </c>
      <c r="L55" s="956"/>
      <c r="M55" s="956">
        <f t="shared" si="1"/>
        <v>0</v>
      </c>
      <c r="N55" s="956"/>
      <c r="O55" s="956">
        <f t="shared" si="1"/>
        <v>0</v>
      </c>
      <c r="P55" s="956"/>
      <c r="Q55" s="956">
        <f t="shared" si="1"/>
        <v>0</v>
      </c>
      <c r="R55" s="956"/>
      <c r="S55" s="956">
        <f t="shared" si="1"/>
        <v>0</v>
      </c>
      <c r="T55" s="956"/>
      <c r="U55" s="956">
        <f t="shared" si="1"/>
        <v>0</v>
      </c>
      <c r="V55" s="956"/>
      <c r="W55" s="956">
        <f t="shared" si="1"/>
        <v>0</v>
      </c>
      <c r="X55" s="956"/>
      <c r="Y55" s="956">
        <f t="shared" si="1"/>
        <v>0</v>
      </c>
      <c r="Z55" s="956"/>
      <c r="AA55" s="956">
        <f t="shared" si="1"/>
        <v>0</v>
      </c>
      <c r="AB55" s="956"/>
      <c r="AC55" s="956">
        <f t="shared" si="1"/>
        <v>0</v>
      </c>
      <c r="AD55" s="956"/>
      <c r="AE55" s="956">
        <f t="shared" si="1"/>
        <v>0</v>
      </c>
      <c r="AF55" s="956"/>
      <c r="AG55" s="956">
        <f t="shared" si="1"/>
        <v>0</v>
      </c>
      <c r="AH55" s="956"/>
    </row>
    <row r="56" spans="1:34" s="3" customFormat="1">
      <c r="A56" s="962"/>
      <c r="B56" s="962"/>
      <c r="C56" s="954"/>
      <c r="E56" s="961"/>
      <c r="F56" s="956"/>
      <c r="G56" s="956">
        <f t="shared" si="1"/>
        <v>0</v>
      </c>
      <c r="H56" s="956"/>
      <c r="I56" s="956">
        <f t="shared" si="1"/>
        <v>0</v>
      </c>
      <c r="J56" s="956"/>
      <c r="K56" s="956">
        <f t="shared" si="1"/>
        <v>0</v>
      </c>
      <c r="L56" s="956"/>
      <c r="M56" s="956">
        <f t="shared" si="1"/>
        <v>0</v>
      </c>
      <c r="N56" s="956"/>
      <c r="O56" s="956">
        <f t="shared" si="1"/>
        <v>0</v>
      </c>
      <c r="P56" s="956"/>
      <c r="Q56" s="956">
        <f t="shared" si="1"/>
        <v>0</v>
      </c>
      <c r="R56" s="956"/>
      <c r="S56" s="956">
        <f t="shared" si="1"/>
        <v>0</v>
      </c>
      <c r="T56" s="956"/>
      <c r="U56" s="956">
        <f t="shared" si="1"/>
        <v>0</v>
      </c>
      <c r="V56" s="956"/>
      <c r="W56" s="956">
        <f t="shared" si="1"/>
        <v>0</v>
      </c>
      <c r="X56" s="956"/>
      <c r="Y56" s="956">
        <f t="shared" si="1"/>
        <v>0</v>
      </c>
      <c r="Z56" s="956"/>
      <c r="AA56" s="956">
        <f t="shared" si="1"/>
        <v>0</v>
      </c>
      <c r="AB56" s="956"/>
      <c r="AC56" s="956">
        <f t="shared" si="1"/>
        <v>0</v>
      </c>
      <c r="AD56" s="956"/>
      <c r="AE56" s="956">
        <f t="shared" si="1"/>
        <v>0</v>
      </c>
      <c r="AF56" s="956"/>
      <c r="AG56" s="956">
        <f t="shared" si="1"/>
        <v>0</v>
      </c>
      <c r="AH56" s="956"/>
    </row>
    <row r="57" spans="1:34" s="3" customFormat="1">
      <c r="A57" s="962"/>
      <c r="B57" s="962"/>
      <c r="C57" s="954"/>
      <c r="E57" s="963"/>
      <c r="F57" s="956"/>
      <c r="G57" s="964">
        <f t="shared" si="1"/>
        <v>0</v>
      </c>
      <c r="H57" s="956"/>
      <c r="I57" s="964">
        <f t="shared" si="1"/>
        <v>0</v>
      </c>
      <c r="J57" s="956"/>
      <c r="K57" s="964">
        <f t="shared" si="1"/>
        <v>0</v>
      </c>
      <c r="L57" s="956"/>
      <c r="M57" s="964">
        <f t="shared" si="1"/>
        <v>0</v>
      </c>
      <c r="N57" s="956"/>
      <c r="O57" s="964">
        <f t="shared" si="1"/>
        <v>0</v>
      </c>
      <c r="P57" s="956"/>
      <c r="Q57" s="964">
        <f t="shared" si="1"/>
        <v>0</v>
      </c>
      <c r="R57" s="956"/>
      <c r="S57" s="964">
        <f t="shared" si="1"/>
        <v>0</v>
      </c>
      <c r="T57" s="956"/>
      <c r="U57" s="964">
        <f t="shared" si="1"/>
        <v>0</v>
      </c>
      <c r="V57" s="956"/>
      <c r="W57" s="964">
        <f t="shared" si="1"/>
        <v>0</v>
      </c>
      <c r="X57" s="956"/>
      <c r="Y57" s="964">
        <f t="shared" si="1"/>
        <v>0</v>
      </c>
      <c r="Z57" s="956"/>
      <c r="AA57" s="964">
        <f t="shared" si="1"/>
        <v>0</v>
      </c>
      <c r="AB57" s="956"/>
      <c r="AC57" s="964">
        <f t="shared" si="1"/>
        <v>0</v>
      </c>
      <c r="AD57" s="956"/>
      <c r="AE57" s="964">
        <f t="shared" si="1"/>
        <v>0</v>
      </c>
      <c r="AF57" s="956"/>
      <c r="AG57" s="964">
        <f t="shared" si="1"/>
        <v>0</v>
      </c>
      <c r="AH57" s="956"/>
    </row>
    <row r="58" spans="1:34" s="3" customFormat="1">
      <c r="A58" s="958" t="s">
        <v>853</v>
      </c>
      <c r="C58" s="957"/>
      <c r="E58" s="956">
        <f>SUM(E53:E57)</f>
        <v>0</v>
      </c>
      <c r="F58" s="956"/>
      <c r="G58" s="956">
        <f>SUM(G53:G57)</f>
        <v>0</v>
      </c>
      <c r="H58" s="956"/>
      <c r="I58" s="956">
        <f>SUM(I53:I57)</f>
        <v>0</v>
      </c>
      <c r="J58" s="956"/>
      <c r="K58" s="956">
        <f>SUM(K53:K57)</f>
        <v>0</v>
      </c>
      <c r="L58" s="956"/>
      <c r="M58" s="956">
        <f>SUM(M53:M57)</f>
        <v>0</v>
      </c>
      <c r="N58" s="956"/>
      <c r="O58" s="956">
        <f>SUM(O53:O57)</f>
        <v>0</v>
      </c>
      <c r="P58" s="956"/>
      <c r="Q58" s="956">
        <f>SUM(Q53:Q57)</f>
        <v>0</v>
      </c>
      <c r="R58" s="956"/>
      <c r="S58" s="956">
        <f>SUM(S53:S57)</f>
        <v>0</v>
      </c>
      <c r="T58" s="956"/>
      <c r="U58" s="956">
        <f>SUM(U53:U57)</f>
        <v>0</v>
      </c>
      <c r="V58" s="956"/>
      <c r="W58" s="956">
        <f>SUM(W53:W57)</f>
        <v>0</v>
      </c>
      <c r="X58" s="956"/>
      <c r="Y58" s="956">
        <f>SUM(Y53:Y57)</f>
        <v>0</v>
      </c>
      <c r="Z58" s="956"/>
      <c r="AA58" s="956">
        <f>SUM(AA53:AA57)</f>
        <v>0</v>
      </c>
      <c r="AB58" s="956"/>
      <c r="AC58" s="956">
        <f>SUM(AC53:AC57)</f>
        <v>0</v>
      </c>
      <c r="AD58" s="956"/>
      <c r="AE58" s="956">
        <f>SUM(AE53:AE57)</f>
        <v>0</v>
      </c>
      <c r="AF58" s="956"/>
      <c r="AG58" s="956">
        <f>SUM(AG53:AG57)</f>
        <v>0</v>
      </c>
      <c r="AH58" s="956"/>
    </row>
    <row r="59" spans="1:34" s="3" customFormat="1" ht="12.75" customHeight="1">
      <c r="A59" s="958"/>
      <c r="C59" s="957"/>
      <c r="E59" s="956"/>
      <c r="F59" s="956"/>
      <c r="G59" s="956"/>
      <c r="H59" s="956"/>
      <c r="I59" s="956"/>
      <c r="J59" s="956"/>
      <c r="K59" s="956"/>
      <c r="L59" s="956"/>
      <c r="M59" s="956"/>
      <c r="N59" s="956"/>
      <c r="O59" s="956"/>
      <c r="P59" s="956"/>
      <c r="Q59" s="956"/>
      <c r="R59" s="956"/>
      <c r="S59" s="956"/>
      <c r="T59" s="956"/>
      <c r="U59" s="956"/>
      <c r="V59" s="956"/>
      <c r="W59" s="956"/>
      <c r="X59" s="956"/>
      <c r="Y59" s="956"/>
      <c r="Z59" s="956"/>
      <c r="AA59" s="956"/>
      <c r="AB59" s="956"/>
      <c r="AC59" s="956"/>
      <c r="AD59" s="956"/>
      <c r="AE59" s="956"/>
      <c r="AF59" s="956"/>
      <c r="AG59" s="956"/>
      <c r="AH59" s="956"/>
    </row>
    <row r="60" spans="1:34" s="958" customFormat="1">
      <c r="A60" s="958" t="s">
        <v>858</v>
      </c>
      <c r="C60" s="965"/>
      <c r="E60" s="958">
        <f>E45-E58</f>
        <v>80195.79999999993</v>
      </c>
      <c r="G60" s="958">
        <f>G45-G58</f>
        <v>92660.794999999925</v>
      </c>
      <c r="I60" s="958">
        <f>I45-I58</f>
        <v>105324.99137499998</v>
      </c>
      <c r="K60" s="958">
        <f>K45-K58</f>
        <v>118189.43433687487</v>
      </c>
      <c r="M60" s="958">
        <f>M45-M58</f>
        <v>131255.05750900914</v>
      </c>
      <c r="O60" s="958">
        <f>O45-O58</f>
        <v>144522.67531642667</v>
      </c>
      <c r="Q60" s="958">
        <f>Q45-Q58</f>
        <v>157992.97501696856</v>
      </c>
      <c r="S60" s="958">
        <f>S45-S58</f>
        <v>171666.50835864164</v>
      </c>
      <c r="U60" s="958">
        <f>U45-U58</f>
        <v>185543.68284767494</v>
      </c>
      <c r="W60" s="958">
        <f>W45-W58</f>
        <v>199624.75261123688</v>
      </c>
      <c r="Y60" s="958">
        <f>Y45-Y58</f>
        <v>213909.80883812043</v>
      </c>
      <c r="AA60" s="958">
        <f>AA45-AA58</f>
        <v>228398.7697800824</v>
      </c>
      <c r="AC60" s="958">
        <f>AC45-AC58</f>
        <v>243091.37029582856</v>
      </c>
      <c r="AE60" s="958">
        <f>AE45-AE58</f>
        <v>257987.15091896174</v>
      </c>
      <c r="AG60" s="958">
        <f>AG45-AG58</f>
        <v>273085.44643047429</v>
      </c>
    </row>
    <row r="61" spans="1:34" s="3" customFormat="1" ht="8.25" customHeight="1">
      <c r="C61" s="957"/>
      <c r="E61" s="956"/>
      <c r="F61" s="956"/>
      <c r="G61" s="956"/>
      <c r="H61" s="956"/>
      <c r="I61" s="956"/>
      <c r="J61" s="956"/>
      <c r="K61" s="956"/>
      <c r="L61" s="956"/>
      <c r="M61" s="956"/>
      <c r="N61" s="956"/>
      <c r="O61" s="956"/>
      <c r="P61" s="956"/>
      <c r="Q61" s="956"/>
      <c r="R61" s="956"/>
      <c r="S61" s="956"/>
      <c r="T61" s="956"/>
      <c r="U61" s="956"/>
      <c r="V61" s="956"/>
      <c r="W61" s="956"/>
      <c r="X61" s="956"/>
      <c r="Y61" s="956"/>
      <c r="Z61" s="956"/>
      <c r="AA61" s="956"/>
      <c r="AB61" s="956"/>
      <c r="AC61" s="956"/>
      <c r="AD61" s="956"/>
      <c r="AE61" s="956"/>
      <c r="AF61" s="956"/>
      <c r="AG61" s="956"/>
      <c r="AH61" s="956"/>
    </row>
    <row r="62" spans="1:34" s="958" customFormat="1">
      <c r="A62" s="958" t="s">
        <v>857</v>
      </c>
      <c r="C62" s="955">
        <v>1</v>
      </c>
      <c r="E62" s="960">
        <f>E60*$C$62</f>
        <v>80195.79999999993</v>
      </c>
      <c r="G62" s="958">
        <f>G60*$C$62</f>
        <v>92660.794999999925</v>
      </c>
      <c r="I62" s="958">
        <f>I60*$C$62</f>
        <v>105324.99137499998</v>
      </c>
      <c r="K62" s="958">
        <f>K60*$C$62</f>
        <v>118189.43433687487</v>
      </c>
      <c r="M62" s="958">
        <f>M60*$C$62</f>
        <v>131255.05750900914</v>
      </c>
      <c r="O62" s="958">
        <f>O60*$C$62</f>
        <v>144522.67531642667</v>
      </c>
      <c r="Q62" s="958">
        <f>Q60*$C$62</f>
        <v>157992.97501696856</v>
      </c>
      <c r="S62" s="958">
        <f>S60*$C$62</f>
        <v>171666.50835864164</v>
      </c>
      <c r="U62" s="958">
        <f>U60*$C$62</f>
        <v>185543.68284767494</v>
      </c>
      <c r="W62" s="958">
        <f>W60*$C$62</f>
        <v>199624.75261123688</v>
      </c>
      <c r="Y62" s="958">
        <f>Y60*$C$62</f>
        <v>213909.80883812043</v>
      </c>
      <c r="AA62" s="958">
        <f>AA60*$C$62</f>
        <v>228398.7697800824</v>
      </c>
      <c r="AC62" s="958">
        <f>AC60*$C$62</f>
        <v>243091.37029582856</v>
      </c>
      <c r="AE62" s="958">
        <f>AE60*$C$62</f>
        <v>257987.15091896174</v>
      </c>
      <c r="AG62" s="958">
        <v>273084</v>
      </c>
    </row>
    <row r="63" spans="1:34" s="958" customFormat="1">
      <c r="A63" s="2684" t="s">
        <v>1184</v>
      </c>
      <c r="B63" s="2684"/>
      <c r="C63" s="2684"/>
    </row>
    <row r="64" spans="1:34" s="3" customFormat="1" ht="8.25" customHeight="1">
      <c r="C64" s="957"/>
      <c r="E64" s="956"/>
      <c r="F64" s="956"/>
      <c r="G64" s="956"/>
      <c r="H64" s="956"/>
      <c r="I64" s="956"/>
      <c r="J64" s="956"/>
      <c r="K64" s="956"/>
      <c r="L64" s="956"/>
      <c r="M64" s="956"/>
      <c r="N64" s="956"/>
      <c r="O64" s="956"/>
      <c r="P64" s="956"/>
      <c r="Q64" s="956"/>
      <c r="R64" s="956"/>
      <c r="S64" s="956"/>
      <c r="T64" s="956"/>
      <c r="U64" s="956"/>
      <c r="V64" s="956"/>
      <c r="W64" s="956"/>
      <c r="X64" s="956"/>
      <c r="Y64" s="956"/>
      <c r="Z64" s="956"/>
      <c r="AA64" s="956"/>
      <c r="AB64" s="956"/>
      <c r="AC64" s="956"/>
      <c r="AD64" s="956"/>
      <c r="AE64" s="956"/>
      <c r="AF64" s="956"/>
      <c r="AG64" s="956"/>
      <c r="AH64" s="956"/>
    </row>
    <row r="65" spans="1:34" s="3" customFormat="1">
      <c r="A65" s="3" t="s">
        <v>861</v>
      </c>
      <c r="C65" s="955">
        <v>0</v>
      </c>
      <c r="E65" s="956"/>
      <c r="F65" s="956"/>
      <c r="G65" s="956"/>
      <c r="H65" s="956"/>
      <c r="I65" s="956"/>
      <c r="J65" s="956"/>
      <c r="K65" s="956"/>
      <c r="L65" s="956"/>
      <c r="M65" s="956"/>
      <c r="N65" s="956"/>
      <c r="O65" s="956"/>
      <c r="P65" s="956"/>
      <c r="Q65" s="956"/>
      <c r="R65" s="956"/>
      <c r="S65" s="956"/>
      <c r="T65" s="956"/>
      <c r="U65" s="956"/>
      <c r="V65" s="956"/>
      <c r="W65" s="956"/>
      <c r="X65" s="956"/>
      <c r="Y65" s="956"/>
      <c r="Z65" s="956"/>
      <c r="AA65" s="956"/>
      <c r="AB65" s="956"/>
      <c r="AC65" s="956"/>
      <c r="AD65" s="956"/>
      <c r="AE65" s="956"/>
      <c r="AF65" s="956"/>
      <c r="AG65" s="956"/>
      <c r="AH65" s="956"/>
    </row>
    <row r="66" spans="1:34" s="958" customFormat="1">
      <c r="A66" s="960"/>
      <c r="B66" s="960"/>
      <c r="C66" s="959"/>
      <c r="E66" s="960">
        <f>$E60*$C$65</f>
        <v>0</v>
      </c>
      <c r="G66" s="956">
        <f>G60*$C$65</f>
        <v>0</v>
      </c>
      <c r="I66" s="956">
        <f>I60*$C$65</f>
        <v>0</v>
      </c>
      <c r="K66" s="956">
        <f>K60*$C$65</f>
        <v>0</v>
      </c>
      <c r="M66" s="956">
        <f>M60*$C$65</f>
        <v>0</v>
      </c>
      <c r="O66" s="956">
        <f>O60*$C$65</f>
        <v>0</v>
      </c>
      <c r="Q66" s="956">
        <f>Q60*$C$65</f>
        <v>0</v>
      </c>
      <c r="S66" s="956">
        <f>S60*$C$65</f>
        <v>0</v>
      </c>
      <c r="U66" s="956">
        <f>U60*$C$65</f>
        <v>0</v>
      </c>
      <c r="W66" s="956">
        <f>W60*$C$65</f>
        <v>0</v>
      </c>
      <c r="Y66" s="956">
        <f>Y60*$C$65</f>
        <v>0</v>
      </c>
      <c r="AA66" s="956">
        <f>AA60*$C$65</f>
        <v>0</v>
      </c>
      <c r="AC66" s="956">
        <f>AC60*$C$65</f>
        <v>0</v>
      </c>
      <c r="AE66" s="956">
        <f>AE60*$C$65</f>
        <v>0</v>
      </c>
      <c r="AG66" s="956">
        <f>AG60*$C$65</f>
        <v>0</v>
      </c>
    </row>
    <row r="67" spans="1:34" s="956" customFormat="1">
      <c r="A67" s="961"/>
      <c r="B67" s="961"/>
      <c r="C67" s="966"/>
      <c r="E67" s="960">
        <f>$E60*$C$65</f>
        <v>0</v>
      </c>
      <c r="G67" s="956">
        <f>G60*$C$65</f>
        <v>0</v>
      </c>
      <c r="I67" s="956">
        <f>I60*$C$65</f>
        <v>0</v>
      </c>
      <c r="K67" s="956">
        <f>K60*$C$65</f>
        <v>0</v>
      </c>
      <c r="M67" s="956">
        <f>M60*$C$65</f>
        <v>0</v>
      </c>
      <c r="O67" s="956">
        <f>O60*$C$65</f>
        <v>0</v>
      </c>
      <c r="Q67" s="956">
        <f>Q60*$C$65</f>
        <v>0</v>
      </c>
      <c r="S67" s="956">
        <f>S60*$C$65</f>
        <v>0</v>
      </c>
      <c r="U67" s="956">
        <f>U60*$C$65</f>
        <v>0</v>
      </c>
      <c r="W67" s="956">
        <f>W60*$C$65</f>
        <v>0</v>
      </c>
      <c r="Y67" s="956">
        <f>Y60*$C$65</f>
        <v>0</v>
      </c>
      <c r="AA67" s="956">
        <f>AA60*$C$65</f>
        <v>0</v>
      </c>
      <c r="AC67" s="956">
        <f>AC60*$C$65</f>
        <v>0</v>
      </c>
      <c r="AE67" s="956">
        <f>AE60*$C$65</f>
        <v>0</v>
      </c>
      <c r="AG67" s="956">
        <f>AG60*$C$65</f>
        <v>0</v>
      </c>
    </row>
    <row r="68" spans="1:34" s="956" customFormat="1">
      <c r="A68" s="961"/>
      <c r="B68" s="961"/>
      <c r="C68" s="966"/>
      <c r="E68" s="961"/>
      <c r="G68" s="956">
        <f t="shared" ref="G68:AG69" si="2">E68*$C$66</f>
        <v>0</v>
      </c>
      <c r="I68" s="956">
        <f t="shared" si="2"/>
        <v>0</v>
      </c>
      <c r="K68" s="956">
        <f t="shared" si="2"/>
        <v>0</v>
      </c>
      <c r="M68" s="956">
        <f t="shared" si="2"/>
        <v>0</v>
      </c>
      <c r="O68" s="956">
        <f t="shared" si="2"/>
        <v>0</v>
      </c>
      <c r="Q68" s="956">
        <f t="shared" si="2"/>
        <v>0</v>
      </c>
      <c r="S68" s="956">
        <f t="shared" si="2"/>
        <v>0</v>
      </c>
      <c r="U68" s="956">
        <f t="shared" si="2"/>
        <v>0</v>
      </c>
      <c r="W68" s="956">
        <f t="shared" si="2"/>
        <v>0</v>
      </c>
      <c r="Y68" s="956">
        <f t="shared" si="2"/>
        <v>0</v>
      </c>
      <c r="AA68" s="956">
        <f t="shared" si="2"/>
        <v>0</v>
      </c>
      <c r="AC68" s="956">
        <f t="shared" si="2"/>
        <v>0</v>
      </c>
      <c r="AE68" s="956">
        <f t="shared" si="2"/>
        <v>0</v>
      </c>
      <c r="AG68" s="956">
        <f t="shared" si="2"/>
        <v>0</v>
      </c>
    </row>
    <row r="69" spans="1:34" s="956" customFormat="1">
      <c r="A69" s="961"/>
      <c r="B69" s="961"/>
      <c r="C69" s="966"/>
      <c r="E69" s="963"/>
      <c r="G69" s="964">
        <f t="shared" si="2"/>
        <v>0</v>
      </c>
      <c r="I69" s="964">
        <f t="shared" si="2"/>
        <v>0</v>
      </c>
      <c r="K69" s="964">
        <f t="shared" si="2"/>
        <v>0</v>
      </c>
      <c r="M69" s="964">
        <f t="shared" si="2"/>
        <v>0</v>
      </c>
      <c r="O69" s="964">
        <f t="shared" si="2"/>
        <v>0</v>
      </c>
      <c r="Q69" s="964">
        <f t="shared" si="2"/>
        <v>0</v>
      </c>
      <c r="S69" s="964">
        <f t="shared" si="2"/>
        <v>0</v>
      </c>
      <c r="U69" s="964">
        <f t="shared" si="2"/>
        <v>0</v>
      </c>
      <c r="W69" s="964">
        <f t="shared" si="2"/>
        <v>0</v>
      </c>
      <c r="Y69" s="964">
        <f t="shared" si="2"/>
        <v>0</v>
      </c>
      <c r="AA69" s="964">
        <f t="shared" si="2"/>
        <v>0</v>
      </c>
      <c r="AC69" s="964">
        <f t="shared" si="2"/>
        <v>0</v>
      </c>
      <c r="AE69" s="964">
        <f t="shared" si="2"/>
        <v>0</v>
      </c>
      <c r="AG69" s="964">
        <f t="shared" si="2"/>
        <v>0</v>
      </c>
    </row>
    <row r="70" spans="1:34" s="956" customFormat="1">
      <c r="A70" s="958" t="s">
        <v>853</v>
      </c>
      <c r="C70" s="966"/>
      <c r="E70" s="956">
        <f>SUM(E66:E69)</f>
        <v>0</v>
      </c>
      <c r="G70" s="956">
        <f>SUM(G66:G69)</f>
        <v>0</v>
      </c>
      <c r="I70" s="956">
        <f>SUM(I66:I69)</f>
        <v>0</v>
      </c>
      <c r="K70" s="956">
        <f>SUM(K66:K69)</f>
        <v>0</v>
      </c>
      <c r="M70" s="956">
        <f>SUM(M66:M69)</f>
        <v>0</v>
      </c>
      <c r="O70" s="956">
        <f>SUM(O66:O69)</f>
        <v>0</v>
      </c>
      <c r="Q70" s="956">
        <f>SUM(Q66:Q69)</f>
        <v>0</v>
      </c>
      <c r="S70" s="956">
        <f>SUM(S66:S69)</f>
        <v>0</v>
      </c>
      <c r="U70" s="956">
        <f>SUM(U66:U69)</f>
        <v>0</v>
      </c>
      <c r="W70" s="956">
        <f>SUM(W66:W69)</f>
        <v>0</v>
      </c>
      <c r="Y70" s="956">
        <f>SUM(Y66:Y69)</f>
        <v>0</v>
      </c>
      <c r="AA70" s="956">
        <f>SUM(AA66:AA69)</f>
        <v>0</v>
      </c>
      <c r="AC70" s="956">
        <f>SUM(AC66:AC69)</f>
        <v>0</v>
      </c>
      <c r="AE70" s="956">
        <f>SUM(AE66:AE69)</f>
        <v>0</v>
      </c>
      <c r="AG70" s="956">
        <f>SUM(AG66:AG69)</f>
        <v>0</v>
      </c>
    </row>
    <row r="71" spans="1:34" s="956" customFormat="1">
      <c r="A71" s="958"/>
      <c r="C71" s="966"/>
    </row>
    <row r="72" spans="1:34" s="956" customFormat="1">
      <c r="A72" s="958" t="s">
        <v>1712</v>
      </c>
      <c r="C72" s="966"/>
      <c r="E72" s="958">
        <f>E60-E62-E70</f>
        <v>0</v>
      </c>
      <c r="G72" s="958">
        <f>G60-G62-G70</f>
        <v>0</v>
      </c>
      <c r="I72" s="958">
        <f>I60-I62-I70</f>
        <v>0</v>
      </c>
      <c r="K72" s="958">
        <f>K60-K62-K70</f>
        <v>0</v>
      </c>
      <c r="M72" s="958">
        <f>M60-M62-M70</f>
        <v>0</v>
      </c>
      <c r="O72" s="958">
        <f>O60-O62-O70</f>
        <v>0</v>
      </c>
      <c r="Q72" s="958">
        <f>Q60-Q62-Q70</f>
        <v>0</v>
      </c>
      <c r="S72" s="958">
        <f>S60-S62-S70</f>
        <v>0</v>
      </c>
      <c r="U72" s="958">
        <f>U60-U62-U70</f>
        <v>0</v>
      </c>
      <c r="W72" s="958">
        <f>W60-W62-W70</f>
        <v>0</v>
      </c>
      <c r="Y72" s="958">
        <f>Y60-Y62-Y70</f>
        <v>0</v>
      </c>
      <c r="AA72" s="958">
        <f>AA60-AA62-AA70</f>
        <v>0</v>
      </c>
      <c r="AC72" s="958">
        <f>AC60-AC62-AC70</f>
        <v>0</v>
      </c>
      <c r="AE72" s="958">
        <f>AE60-AE62-AE70</f>
        <v>0</v>
      </c>
      <c r="AG72" s="958">
        <f>AG60-AG62-AG70</f>
        <v>1.446430474286899</v>
      </c>
    </row>
    <row r="73" spans="1:34" s="956" customFormat="1">
      <c r="A73" s="529"/>
      <c r="C73" s="966"/>
    </row>
    <row r="74" spans="1:34" s="217" customFormat="1">
      <c r="A74" s="529"/>
      <c r="C74" s="183"/>
    </row>
    <row r="75" spans="1:34" s="217" customFormat="1">
      <c r="A75" s="956" t="s">
        <v>1711</v>
      </c>
      <c r="C75" s="183"/>
    </row>
    <row r="76" spans="1:34" s="217" customFormat="1">
      <c r="C76" s="183"/>
    </row>
    <row r="77" spans="1:34" s="234" customFormat="1" ht="30" customHeight="1">
      <c r="A77" s="2682" t="s">
        <v>1710</v>
      </c>
      <c r="B77" s="2683"/>
      <c r="C77" s="2683"/>
      <c r="D77" s="2683"/>
      <c r="E77" s="2683"/>
      <c r="F77" s="2683"/>
      <c r="G77" s="2683"/>
      <c r="H77" s="2683"/>
      <c r="I77" s="2683"/>
      <c r="J77" s="2683"/>
      <c r="K77" s="2683"/>
      <c r="L77" s="2683"/>
      <c r="M77" s="2683"/>
      <c r="N77" s="2683"/>
      <c r="O77" s="2683"/>
      <c r="P77" s="2683"/>
      <c r="Q77" s="2683"/>
      <c r="R77" s="2683"/>
      <c r="S77" s="2683"/>
      <c r="T77" s="2683"/>
      <c r="U77" s="2683"/>
      <c r="V77" s="2683"/>
      <c r="W77" s="2683"/>
      <c r="X77" s="2683"/>
      <c r="Y77" s="2683"/>
      <c r="Z77" s="2683"/>
      <c r="AA77" s="2683"/>
      <c r="AB77" s="2683"/>
      <c r="AC77" s="2683"/>
      <c r="AD77" s="2683"/>
      <c r="AE77" s="2683"/>
      <c r="AF77" s="2683"/>
      <c r="AG77" s="2683"/>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7"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2.75" zeroHeight="1"/>
  <cols>
    <col min="1" max="1" width="161.7109375" customWidth="1"/>
    <col min="2" max="16384" width="8.85546875" hidden="1"/>
  </cols>
  <sheetData>
    <row r="1" spans="1:1" ht="47.25">
      <c r="A1" s="313" t="s">
        <v>971</v>
      </c>
    </row>
    <row r="2" spans="1:1" ht="15.75">
      <c r="A2" s="314"/>
    </row>
    <row r="3" spans="1:1" ht="15.75">
      <c r="A3" s="315" t="s">
        <v>966</v>
      </c>
    </row>
    <row r="4" spans="1:1" ht="15.75">
      <c r="A4" s="315" t="s">
        <v>967</v>
      </c>
    </row>
    <row r="5" spans="1:1" ht="15.75">
      <c r="A5" s="315" t="s">
        <v>968</v>
      </c>
    </row>
    <row r="6" spans="1:1" ht="15.75">
      <c r="A6" s="315" t="s">
        <v>970</v>
      </c>
    </row>
    <row r="7" spans="1:1" ht="15.75">
      <c r="A7" s="315" t="s">
        <v>969</v>
      </c>
    </row>
    <row r="8" spans="1:1" ht="15.75">
      <c r="A8" s="346" t="s">
        <v>1024</v>
      </c>
    </row>
    <row r="9" spans="1:1" ht="15.75">
      <c r="A9" s="315" t="s">
        <v>1025</v>
      </c>
    </row>
  </sheetData>
  <sheetProtection algorithmName="SHA-512" hashValue="AoE9RYxNwKn4SxXZHVxDCTY670jE8RnPjTmgzblf/T3NXfV7rIxS3QFY95UlqgqmCx/6ufkHMcvPfVCLRGUS5g==" saltValue="sxIaRdNFRMgAH3FoP8M8Tw=="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heetViews>
  <sheetFormatPr defaultColWidth="9.140625" defaultRowHeight="12.75" zeroHeight="1"/>
  <cols>
    <col min="1" max="1" width="35.7109375" style="204" customWidth="1"/>
    <col min="2" max="4" width="14.7109375" style="204" customWidth="1"/>
    <col min="5" max="5" width="50.7109375" style="204" customWidth="1"/>
    <col min="6" max="253" width="9.140625" style="204" customWidth="1"/>
    <col min="254" max="16384" width="9.140625" style="204"/>
  </cols>
  <sheetData>
    <row r="1" spans="1:6" s="275" customFormat="1" ht="18" customHeight="1">
      <c r="A1" s="513" t="s">
        <v>1217</v>
      </c>
      <c r="D1" s="280"/>
    </row>
    <row r="2" spans="1:6" s="275" customFormat="1">
      <c r="A2" s="259" t="s">
        <v>889</v>
      </c>
      <c r="B2" s="261"/>
      <c r="C2" s="261"/>
      <c r="D2" s="258"/>
      <c r="E2" s="262"/>
      <c r="F2" s="261"/>
    </row>
    <row r="3" spans="1:6" s="351" customFormat="1" ht="80.25" customHeight="1">
      <c r="A3" s="277"/>
      <c r="B3" s="263" t="s">
        <v>890</v>
      </c>
      <c r="C3" s="263" t="s">
        <v>891</v>
      </c>
      <c r="D3" s="263" t="s">
        <v>892</v>
      </c>
      <c r="E3" s="260" t="s">
        <v>893</v>
      </c>
      <c r="F3" s="260"/>
    </row>
    <row r="4" spans="1:6" s="352" customFormat="1">
      <c r="A4" s="264" t="s">
        <v>26</v>
      </c>
      <c r="B4" s="264"/>
      <c r="C4" s="264"/>
      <c r="D4" s="264"/>
      <c r="E4" s="282"/>
      <c r="F4" s="264"/>
    </row>
    <row r="5" spans="1:6" s="352" customFormat="1">
      <c r="A5" s="364" t="s">
        <v>27</v>
      </c>
      <c r="B5" s="266">
        <f>'Sources and Uses Budget'!$C4</f>
        <v>2660867</v>
      </c>
      <c r="C5" s="266">
        <f>'Sources and Uses Budget'!$C4</f>
        <v>2660867</v>
      </c>
      <c r="D5" s="270">
        <f>C5-B5</f>
        <v>0</v>
      </c>
      <c r="E5" s="268"/>
      <c r="F5" s="267"/>
    </row>
    <row r="6" spans="1:6" s="352" customFormat="1">
      <c r="A6" s="364" t="s">
        <v>28</v>
      </c>
      <c r="B6" s="266">
        <f>'Sources and Uses Budget'!$C5</f>
        <v>0</v>
      </c>
      <c r="C6" s="266">
        <f>'Sources and Uses Budget'!$C5</f>
        <v>0</v>
      </c>
      <c r="D6" s="270">
        <f t="shared" ref="D6:D77" si="0">C6-B6</f>
        <v>0</v>
      </c>
      <c r="E6" s="268"/>
      <c r="F6" s="267"/>
    </row>
    <row r="7" spans="1:6" s="352" customFormat="1">
      <c r="A7" s="364" t="s">
        <v>29</v>
      </c>
      <c r="B7" s="266">
        <f>'Sources and Uses Budget'!$C6</f>
        <v>0</v>
      </c>
      <c r="C7" s="266">
        <f>'Sources and Uses Budget'!$C6</f>
        <v>0</v>
      </c>
      <c r="D7" s="270">
        <f t="shared" si="0"/>
        <v>0</v>
      </c>
      <c r="E7" s="268"/>
      <c r="F7" s="267"/>
    </row>
    <row r="8" spans="1:6" s="352" customFormat="1">
      <c r="A8" s="364" t="s">
        <v>97</v>
      </c>
      <c r="B8" s="266">
        <f>'Sources and Uses Budget'!$C7</f>
        <v>0</v>
      </c>
      <c r="C8" s="266">
        <f>'Sources and Uses Budget'!$C7</f>
        <v>0</v>
      </c>
      <c r="D8" s="270">
        <f t="shared" si="0"/>
        <v>0</v>
      </c>
      <c r="E8" s="268"/>
      <c r="F8" s="267"/>
    </row>
    <row r="9" spans="1:6" s="352" customFormat="1">
      <c r="A9" s="365" t="s">
        <v>593</v>
      </c>
      <c r="B9" s="270">
        <f>SUM(B5:B8)</f>
        <v>2660867</v>
      </c>
      <c r="C9" s="270">
        <f>SUM(C5:C8)</f>
        <v>2660867</v>
      </c>
      <c r="D9" s="270">
        <f t="shared" si="0"/>
        <v>0</v>
      </c>
      <c r="E9" s="268"/>
      <c r="F9" s="267"/>
    </row>
    <row r="10" spans="1:6" s="352" customFormat="1">
      <c r="A10" s="364" t="s">
        <v>594</v>
      </c>
      <c r="B10" s="266">
        <f>'Sources and Uses Budget'!$C9</f>
        <v>0</v>
      </c>
      <c r="C10" s="266">
        <f>'Sources and Uses Budget'!$C9</f>
        <v>0</v>
      </c>
      <c r="D10" s="270">
        <f t="shared" si="0"/>
        <v>0</v>
      </c>
      <c r="E10" s="268"/>
      <c r="F10" s="267"/>
    </row>
    <row r="11" spans="1:6" s="352" customFormat="1">
      <c r="A11" s="364" t="s">
        <v>595</v>
      </c>
      <c r="B11" s="266">
        <f>'Sources and Uses Budget'!$C10</f>
        <v>0</v>
      </c>
      <c r="C11" s="266">
        <f>'Sources and Uses Budget'!$C10</f>
        <v>0</v>
      </c>
      <c r="D11" s="270">
        <f t="shared" si="0"/>
        <v>0</v>
      </c>
      <c r="E11" s="268"/>
      <c r="F11" s="267"/>
    </row>
    <row r="12" spans="1:6" s="352" customFormat="1">
      <c r="A12" s="365" t="s">
        <v>596</v>
      </c>
      <c r="B12" s="270">
        <f>SUM(B10:B11)</f>
        <v>0</v>
      </c>
      <c r="C12" s="270">
        <f>SUM(C10:C11)</f>
        <v>0</v>
      </c>
      <c r="D12" s="270">
        <f t="shared" si="0"/>
        <v>0</v>
      </c>
      <c r="E12" s="268"/>
      <c r="F12" s="267"/>
    </row>
    <row r="13" spans="1:6" s="352" customFormat="1">
      <c r="A13" s="365" t="s">
        <v>84</v>
      </c>
      <c r="B13" s="270">
        <f>SUM(B9+B12)</f>
        <v>2660867</v>
      </c>
      <c r="C13" s="270">
        <f>SUM(C9+C12)</f>
        <v>2660867</v>
      </c>
      <c r="D13" s="270">
        <f t="shared" si="0"/>
        <v>0</v>
      </c>
      <c r="E13" s="268"/>
      <c r="F13" s="267"/>
    </row>
    <row r="14" spans="1:6" s="352" customFormat="1">
      <c r="A14" s="366" t="s">
        <v>902</v>
      </c>
      <c r="B14" s="266">
        <f>'Sources and Uses Budget'!$C13</f>
        <v>0</v>
      </c>
      <c r="C14" s="266">
        <f>'Sources and Uses Budget'!$C13</f>
        <v>0</v>
      </c>
      <c r="D14" s="270">
        <f t="shared" si="0"/>
        <v>0</v>
      </c>
      <c r="E14" s="268"/>
      <c r="F14" s="267"/>
    </row>
    <row r="15" spans="1:6" s="352" customFormat="1" ht="24">
      <c r="A15" s="364" t="s">
        <v>903</v>
      </c>
      <c r="B15" s="266">
        <f>'Sources and Uses Budget'!$C14</f>
        <v>0</v>
      </c>
      <c r="C15" s="266">
        <f>'Sources and Uses Budget'!$C14</f>
        <v>0</v>
      </c>
      <c r="D15" s="270">
        <f t="shared" si="0"/>
        <v>0</v>
      </c>
      <c r="E15" s="268"/>
      <c r="F15" s="267"/>
    </row>
    <row r="16" spans="1:6" s="352" customFormat="1">
      <c r="A16" s="364" t="s">
        <v>1161</v>
      </c>
      <c r="B16" s="266">
        <f>'Sources and Uses Budget'!$C15</f>
        <v>0</v>
      </c>
      <c r="C16" s="266">
        <f>'Sources and Uses Budget'!$C15</f>
        <v>0</v>
      </c>
      <c r="D16" s="270">
        <f t="shared" si="0"/>
        <v>0</v>
      </c>
      <c r="E16" s="268"/>
      <c r="F16" s="267"/>
    </row>
    <row r="17" spans="1:6" s="352" customFormat="1">
      <c r="A17" s="264" t="s">
        <v>597</v>
      </c>
      <c r="B17" s="264"/>
      <c r="C17" s="264"/>
      <c r="D17" s="264"/>
      <c r="E17" s="282"/>
      <c r="F17" s="264"/>
    </row>
    <row r="18" spans="1:6" s="352" customFormat="1">
      <c r="A18" s="145" t="s">
        <v>598</v>
      </c>
      <c r="B18" s="266">
        <f>'Sources and Uses Budget'!$C17</f>
        <v>0</v>
      </c>
      <c r="C18" s="266">
        <f>'Sources and Uses Budget'!$C17</f>
        <v>0</v>
      </c>
      <c r="D18" s="270">
        <f t="shared" si="0"/>
        <v>0</v>
      </c>
      <c r="E18" s="268"/>
      <c r="F18" s="267"/>
    </row>
    <row r="19" spans="1:6" s="352" customFormat="1">
      <c r="A19" s="145" t="s">
        <v>599</v>
      </c>
      <c r="B19" s="266">
        <f>'Sources and Uses Budget'!$C18</f>
        <v>0</v>
      </c>
      <c r="C19" s="266">
        <f>'Sources and Uses Budget'!$C18</f>
        <v>0</v>
      </c>
      <c r="D19" s="270">
        <f t="shared" si="0"/>
        <v>0</v>
      </c>
      <c r="E19" s="268"/>
      <c r="F19" s="267"/>
    </row>
    <row r="20" spans="1:6" s="352" customFormat="1">
      <c r="A20" s="145" t="s">
        <v>600</v>
      </c>
      <c r="B20" s="266">
        <f>'Sources and Uses Budget'!$C19</f>
        <v>0</v>
      </c>
      <c r="C20" s="266">
        <f>'Sources and Uses Budget'!$C19</f>
        <v>0</v>
      </c>
      <c r="D20" s="270">
        <f t="shared" si="0"/>
        <v>0</v>
      </c>
      <c r="E20" s="268"/>
      <c r="F20" s="267"/>
    </row>
    <row r="21" spans="1:6" s="352" customFormat="1">
      <c r="A21" s="145" t="s">
        <v>137</v>
      </c>
      <c r="B21" s="266">
        <f>'Sources and Uses Budget'!$C20</f>
        <v>0</v>
      </c>
      <c r="C21" s="266">
        <f>'Sources and Uses Budget'!$C20</f>
        <v>0</v>
      </c>
      <c r="D21" s="270">
        <f t="shared" si="0"/>
        <v>0</v>
      </c>
      <c r="E21" s="268"/>
      <c r="F21" s="267"/>
    </row>
    <row r="22" spans="1:6" s="352" customFormat="1">
      <c r="A22" s="145" t="s">
        <v>138</v>
      </c>
      <c r="B22" s="266">
        <f>'Sources and Uses Budget'!$C21</f>
        <v>0</v>
      </c>
      <c r="C22" s="266">
        <f>'Sources and Uses Budget'!$C21</f>
        <v>0</v>
      </c>
      <c r="D22" s="270">
        <f t="shared" si="0"/>
        <v>0</v>
      </c>
      <c r="E22" s="268"/>
      <c r="F22" s="267"/>
    </row>
    <row r="23" spans="1:6" s="352" customFormat="1">
      <c r="A23" s="145" t="s">
        <v>139</v>
      </c>
      <c r="B23" s="266">
        <f>'Sources and Uses Budget'!$C22</f>
        <v>0</v>
      </c>
      <c r="C23" s="266">
        <f>'Sources and Uses Budget'!$C22</f>
        <v>0</v>
      </c>
      <c r="D23" s="270">
        <f t="shared" si="0"/>
        <v>0</v>
      </c>
      <c r="E23" s="268"/>
      <c r="F23" s="267"/>
    </row>
    <row r="24" spans="1:6" s="352" customFormat="1">
      <c r="A24" s="145" t="s">
        <v>140</v>
      </c>
      <c r="B24" s="266">
        <f>'Sources and Uses Budget'!$C23</f>
        <v>0</v>
      </c>
      <c r="C24" s="266">
        <f>'Sources and Uses Budget'!$C23</f>
        <v>0</v>
      </c>
      <c r="D24" s="270">
        <f t="shared" si="0"/>
        <v>0</v>
      </c>
      <c r="E24" s="268"/>
      <c r="F24" s="267"/>
    </row>
    <row r="25" spans="1:6" s="352" customFormat="1">
      <c r="A25" s="508" t="s">
        <v>1629</v>
      </c>
      <c r="B25" s="266">
        <f>'Sources and Uses Budget'!$C24</f>
        <v>0</v>
      </c>
      <c r="C25" s="266">
        <f>'Sources and Uses Budget'!$C24</f>
        <v>0</v>
      </c>
      <c r="D25" s="270">
        <f t="shared" si="0"/>
        <v>0</v>
      </c>
      <c r="E25" s="268"/>
      <c r="F25" s="267"/>
    </row>
    <row r="26" spans="1:6" s="352" customFormat="1">
      <c r="A26" s="155" t="str">
        <f>'Sources and Uses Budget'!A25</f>
        <v>Other: (Specify)</v>
      </c>
      <c r="B26" s="266">
        <f>'Sources and Uses Budget'!$C25</f>
        <v>0</v>
      </c>
      <c r="C26" s="266">
        <f>'Sources and Uses Budget'!$C25</f>
        <v>0</v>
      </c>
      <c r="D26" s="270">
        <f t="shared" si="0"/>
        <v>0</v>
      </c>
      <c r="E26" s="268"/>
      <c r="F26" s="267"/>
    </row>
    <row r="27" spans="1:6" s="352" customFormat="1">
      <c r="A27" s="1013" t="s">
        <v>133</v>
      </c>
      <c r="B27" s="270">
        <f>SUM(B18:B26)</f>
        <v>0</v>
      </c>
      <c r="C27" s="270">
        <f>SUM(C18:C26)</f>
        <v>0</v>
      </c>
      <c r="D27" s="270">
        <f>SUM(D18:D26)</f>
        <v>0</v>
      </c>
      <c r="E27" s="268"/>
      <c r="F27" s="267"/>
    </row>
    <row r="28" spans="1:6" s="352" customFormat="1">
      <c r="A28" s="271" t="s">
        <v>141</v>
      </c>
      <c r="B28" s="266">
        <f>'Sources and Uses Budget'!$C$27</f>
        <v>0</v>
      </c>
      <c r="C28" s="266">
        <f>'Sources and Uses Budget'!$C$27</f>
        <v>0</v>
      </c>
      <c r="D28" s="270">
        <f t="shared" si="0"/>
        <v>0</v>
      </c>
      <c r="E28" s="268"/>
      <c r="F28" s="267"/>
    </row>
    <row r="29" spans="1:6" s="352" customFormat="1">
      <c r="A29" s="264" t="s">
        <v>142</v>
      </c>
      <c r="B29" s="264"/>
      <c r="C29" s="264"/>
      <c r="D29" s="264"/>
      <c r="E29" s="282"/>
      <c r="F29" s="264"/>
    </row>
    <row r="30" spans="1:6" s="352" customFormat="1">
      <c r="A30" s="145" t="s">
        <v>598</v>
      </c>
      <c r="B30" s="266">
        <f>'Sources and Uses Budget'!$C29</f>
        <v>2049795</v>
      </c>
      <c r="C30" s="266">
        <f>'Sources and Uses Budget'!$C29</f>
        <v>2049795</v>
      </c>
      <c r="D30" s="270">
        <f t="shared" si="0"/>
        <v>0</v>
      </c>
      <c r="E30" s="268"/>
      <c r="F30" s="267"/>
    </row>
    <row r="31" spans="1:6" s="352" customFormat="1">
      <c r="A31" s="145" t="s">
        <v>599</v>
      </c>
      <c r="B31" s="266">
        <f>'Sources and Uses Budget'!$C30</f>
        <v>15594023</v>
      </c>
      <c r="C31" s="266">
        <f>'Sources and Uses Budget'!$C30</f>
        <v>15594023</v>
      </c>
      <c r="D31" s="270">
        <f t="shared" si="0"/>
        <v>0</v>
      </c>
      <c r="E31" s="268"/>
      <c r="F31" s="267"/>
    </row>
    <row r="32" spans="1:6" s="352" customFormat="1">
      <c r="A32" s="145" t="s">
        <v>600</v>
      </c>
      <c r="B32" s="266">
        <f>'Sources and Uses Budget'!$C31</f>
        <v>1122147</v>
      </c>
      <c r="C32" s="266">
        <f>'Sources and Uses Budget'!$C31</f>
        <v>1122147</v>
      </c>
      <c r="D32" s="270">
        <f t="shared" si="0"/>
        <v>0</v>
      </c>
      <c r="E32" s="268"/>
      <c r="F32" s="267"/>
    </row>
    <row r="33" spans="1:6" s="352" customFormat="1">
      <c r="A33" s="145" t="s">
        <v>137</v>
      </c>
      <c r="B33" s="266">
        <f>'Sources and Uses Budget'!$C32</f>
        <v>374049</v>
      </c>
      <c r="C33" s="266">
        <f>'Sources and Uses Budget'!$C32</f>
        <v>374049</v>
      </c>
      <c r="D33" s="270">
        <f t="shared" si="0"/>
        <v>0</v>
      </c>
      <c r="E33" s="268"/>
      <c r="F33" s="267"/>
    </row>
    <row r="34" spans="1:6" s="352" customFormat="1">
      <c r="A34" s="145" t="s">
        <v>138</v>
      </c>
      <c r="B34" s="266">
        <f>'Sources and Uses Budget'!$C33</f>
        <v>1122147</v>
      </c>
      <c r="C34" s="266">
        <f>'Sources and Uses Budget'!$C33</f>
        <v>1122147</v>
      </c>
      <c r="D34" s="270">
        <f t="shared" si="0"/>
        <v>0</v>
      </c>
      <c r="E34" s="268"/>
      <c r="F34" s="267"/>
    </row>
    <row r="35" spans="1:6" s="352" customFormat="1">
      <c r="A35" s="145" t="s">
        <v>139</v>
      </c>
      <c r="B35" s="266">
        <f>'Sources and Uses Budget'!$C34</f>
        <v>0</v>
      </c>
      <c r="C35" s="266">
        <f>'Sources and Uses Budget'!$C34</f>
        <v>0</v>
      </c>
      <c r="D35" s="270">
        <f t="shared" si="0"/>
        <v>0</v>
      </c>
      <c r="E35" s="268"/>
      <c r="F35" s="267"/>
    </row>
    <row r="36" spans="1:6" s="352" customFormat="1">
      <c r="A36" s="145" t="s">
        <v>140</v>
      </c>
      <c r="B36" s="266">
        <f>'Sources and Uses Budget'!$C35</f>
        <v>450000</v>
      </c>
      <c r="C36" s="266">
        <f>'Sources and Uses Budget'!$C35</f>
        <v>450000</v>
      </c>
      <c r="D36" s="270">
        <f t="shared" si="0"/>
        <v>0</v>
      </c>
      <c r="E36" s="268"/>
      <c r="F36" s="267"/>
    </row>
    <row r="37" spans="1:6" s="352" customFormat="1">
      <c r="A37" s="283" t="s">
        <v>1629</v>
      </c>
      <c r="B37" s="266">
        <f>'Sources and Uses Budget'!$C36</f>
        <v>0</v>
      </c>
      <c r="C37" s="266">
        <f>'Sources and Uses Budget'!$C36</f>
        <v>0</v>
      </c>
      <c r="D37" s="270"/>
      <c r="E37" s="268"/>
      <c r="F37" s="267"/>
    </row>
    <row r="38" spans="1:6" s="352" customFormat="1">
      <c r="A38" s="155" t="str">
        <f>'Sources and Uses Budget'!A37</f>
        <v>Other: (Specify)</v>
      </c>
      <c r="B38" s="266">
        <f>'Sources and Uses Budget'!$C37</f>
        <v>0</v>
      </c>
      <c r="C38" s="266">
        <f>'Sources and Uses Budget'!$C37</f>
        <v>0</v>
      </c>
      <c r="D38" s="270">
        <f t="shared" si="0"/>
        <v>0</v>
      </c>
      <c r="E38" s="268"/>
      <c r="F38" s="267"/>
    </row>
    <row r="39" spans="1:6" s="352" customFormat="1">
      <c r="A39" s="271" t="s">
        <v>143</v>
      </c>
      <c r="B39" s="270">
        <f>SUM(B30:B38)</f>
        <v>20712161</v>
      </c>
      <c r="C39" s="270">
        <f>SUM(C30:C38)</f>
        <v>20712161</v>
      </c>
      <c r="D39" s="270">
        <f t="shared" si="0"/>
        <v>0</v>
      </c>
      <c r="E39" s="268"/>
      <c r="F39" s="267"/>
    </row>
    <row r="40" spans="1:6" s="352" customFormat="1">
      <c r="A40" s="264" t="s">
        <v>144</v>
      </c>
      <c r="B40" s="264"/>
      <c r="C40" s="264"/>
      <c r="D40" s="264"/>
      <c r="E40" s="282"/>
      <c r="F40" s="264"/>
    </row>
    <row r="41" spans="1:6" s="352" customFormat="1">
      <c r="A41" s="269" t="s">
        <v>145</v>
      </c>
      <c r="B41" s="266">
        <f>'Sources and Uses Budget'!$C40</f>
        <v>405243</v>
      </c>
      <c r="C41" s="266">
        <f>'Sources and Uses Budget'!$C40</f>
        <v>405243</v>
      </c>
      <c r="D41" s="270">
        <f t="shared" si="0"/>
        <v>0</v>
      </c>
      <c r="E41" s="268"/>
      <c r="F41" s="267"/>
    </row>
    <row r="42" spans="1:6" s="352" customFormat="1">
      <c r="A42" s="269" t="s">
        <v>146</v>
      </c>
      <c r="B42" s="266">
        <f>'Sources and Uses Budget'!$C41</f>
        <v>405243</v>
      </c>
      <c r="C42" s="266">
        <f>'Sources and Uses Budget'!$C41</f>
        <v>405243</v>
      </c>
      <c r="D42" s="270">
        <f t="shared" si="0"/>
        <v>0</v>
      </c>
      <c r="E42" s="268"/>
      <c r="F42" s="267"/>
    </row>
    <row r="43" spans="1:6" s="352" customFormat="1">
      <c r="A43" s="271" t="s">
        <v>147</v>
      </c>
      <c r="B43" s="270">
        <f>SUM(B41:B42)</f>
        <v>810486</v>
      </c>
      <c r="C43" s="270">
        <f>SUM(C41:C42)</f>
        <v>810486</v>
      </c>
      <c r="D43" s="270">
        <f t="shared" si="0"/>
        <v>0</v>
      </c>
      <c r="E43" s="268"/>
      <c r="F43" s="267"/>
    </row>
    <row r="44" spans="1:6" s="352" customFormat="1">
      <c r="A44" s="271" t="s">
        <v>148</v>
      </c>
      <c r="B44" s="266">
        <f>'Sources and Uses Budget'!$C43</f>
        <v>250000</v>
      </c>
      <c r="C44" s="266">
        <f>'Sources and Uses Budget'!$C43</f>
        <v>250000</v>
      </c>
      <c r="D44" s="270">
        <f t="shared" si="0"/>
        <v>0</v>
      </c>
      <c r="E44" s="268"/>
      <c r="F44" s="267"/>
    </row>
    <row r="45" spans="1:6" s="352" customFormat="1" ht="12" customHeight="1">
      <c r="A45" s="264" t="s">
        <v>149</v>
      </c>
      <c r="B45" s="264"/>
      <c r="C45" s="264"/>
      <c r="D45" s="264"/>
      <c r="E45" s="282"/>
      <c r="F45" s="264"/>
    </row>
    <row r="46" spans="1:6" s="352" customFormat="1">
      <c r="A46" s="145" t="s">
        <v>150</v>
      </c>
      <c r="B46" s="266">
        <f>'Sources and Uses Budget'!$C45</f>
        <v>974000</v>
      </c>
      <c r="C46" s="266">
        <f>'Sources and Uses Budget'!$C45</f>
        <v>974000</v>
      </c>
      <c r="D46" s="270">
        <f t="shared" si="0"/>
        <v>0</v>
      </c>
      <c r="E46" s="268"/>
      <c r="F46" s="267"/>
    </row>
    <row r="47" spans="1:6" s="352" customFormat="1">
      <c r="A47" s="145" t="s">
        <v>151</v>
      </c>
      <c r="B47" s="266">
        <f>'Sources and Uses Budget'!$C46</f>
        <v>265615</v>
      </c>
      <c r="C47" s="266">
        <f>'Sources and Uses Budget'!$C46</f>
        <v>265615</v>
      </c>
      <c r="D47" s="270">
        <f t="shared" si="0"/>
        <v>0</v>
      </c>
      <c r="E47" s="268"/>
      <c r="F47" s="267"/>
    </row>
    <row r="48" spans="1:6" s="352" customFormat="1" ht="12" customHeight="1">
      <c r="A48" s="186" t="s">
        <v>152</v>
      </c>
      <c r="B48" s="266">
        <f>'Sources and Uses Budget'!$C47</f>
        <v>35000</v>
      </c>
      <c r="C48" s="266">
        <f>'Sources and Uses Budget'!$C47</f>
        <v>35000</v>
      </c>
      <c r="D48" s="270">
        <f t="shared" si="0"/>
        <v>0</v>
      </c>
      <c r="E48" s="268"/>
      <c r="F48" s="267"/>
    </row>
    <row r="49" spans="1:6" s="352" customFormat="1">
      <c r="A49" s="145" t="s">
        <v>153</v>
      </c>
      <c r="B49" s="266">
        <f>'Sources and Uses Budget'!$C48</f>
        <v>0</v>
      </c>
      <c r="C49" s="266">
        <f>'Sources and Uses Budget'!$C48</f>
        <v>0</v>
      </c>
      <c r="D49" s="270">
        <f t="shared" si="0"/>
        <v>0</v>
      </c>
      <c r="E49" s="268"/>
      <c r="F49" s="267"/>
    </row>
    <row r="50" spans="1:6" s="352" customFormat="1">
      <c r="A50" s="145" t="s">
        <v>57</v>
      </c>
      <c r="B50" s="266">
        <f>'Sources and Uses Budget'!$C49</f>
        <v>188358</v>
      </c>
      <c r="C50" s="266">
        <f>'Sources and Uses Budget'!$C49</f>
        <v>188358</v>
      </c>
      <c r="D50" s="270">
        <f t="shared" si="0"/>
        <v>0</v>
      </c>
      <c r="E50" s="268"/>
      <c r="F50" s="267"/>
    </row>
    <row r="51" spans="1:6" s="352" customFormat="1">
      <c r="A51" s="145" t="s">
        <v>156</v>
      </c>
      <c r="B51" s="266">
        <f>'Sources and Uses Budget'!$C50</f>
        <v>40000</v>
      </c>
      <c r="C51" s="266">
        <f>'Sources and Uses Budget'!$C50</f>
        <v>40000</v>
      </c>
      <c r="D51" s="270">
        <f t="shared" si="0"/>
        <v>0</v>
      </c>
      <c r="E51" s="268"/>
      <c r="F51" s="267"/>
    </row>
    <row r="52" spans="1:6" s="352" customFormat="1">
      <c r="A52" s="283" t="s">
        <v>154</v>
      </c>
      <c r="B52" s="266">
        <f>'Sources and Uses Budget'!$C51</f>
        <v>53217</v>
      </c>
      <c r="C52" s="266">
        <f>'Sources and Uses Budget'!$C51</f>
        <v>53217</v>
      </c>
      <c r="D52" s="270">
        <f t="shared" si="0"/>
        <v>0</v>
      </c>
      <c r="E52" s="268"/>
      <c r="F52" s="267"/>
    </row>
    <row r="53" spans="1:6" s="352" customFormat="1">
      <c r="A53" s="145" t="s">
        <v>155</v>
      </c>
      <c r="B53" s="266">
        <f>'Sources and Uses Budget'!$C52</f>
        <v>0</v>
      </c>
      <c r="C53" s="266">
        <f>'Sources and Uses Budget'!$C52</f>
        <v>0</v>
      </c>
      <c r="D53" s="270">
        <f t="shared" si="0"/>
        <v>0</v>
      </c>
      <c r="E53" s="268"/>
      <c r="F53" s="267"/>
    </row>
    <row r="54" spans="1:6" s="352" customFormat="1">
      <c r="A54" s="155" t="str">
        <f>'Sources and Uses Budget'!A53</f>
        <v>Inspection Fees</v>
      </c>
      <c r="B54" s="266">
        <f>'Sources and Uses Budget'!$C53</f>
        <v>20000</v>
      </c>
      <c r="C54" s="266">
        <f>'Sources and Uses Budget'!$C53</f>
        <v>20000</v>
      </c>
      <c r="D54" s="270">
        <f t="shared" si="0"/>
        <v>0</v>
      </c>
      <c r="E54" s="268"/>
      <c r="F54" s="267"/>
    </row>
    <row r="55" spans="1:6" s="353" customFormat="1">
      <c r="A55" s="271" t="s">
        <v>157</v>
      </c>
      <c r="B55" s="273">
        <f>SUM(B46:B54)</f>
        <v>1576190</v>
      </c>
      <c r="C55" s="273">
        <f>SUM(C46:C54)</f>
        <v>1576190</v>
      </c>
      <c r="D55" s="270">
        <f t="shared" si="0"/>
        <v>0</v>
      </c>
      <c r="E55" s="268"/>
      <c r="F55" s="267"/>
    </row>
    <row r="56" spans="1:6" s="352" customFormat="1">
      <c r="A56" s="264" t="s">
        <v>418</v>
      </c>
      <c r="B56" s="264"/>
      <c r="C56" s="264"/>
      <c r="D56" s="264"/>
      <c r="E56" s="282"/>
      <c r="F56" s="264"/>
    </row>
    <row r="57" spans="1:6" s="352" customFormat="1">
      <c r="A57" s="269" t="s">
        <v>158</v>
      </c>
      <c r="B57" s="266">
        <f>'Sources and Uses Budget'!$C56</f>
        <v>0</v>
      </c>
      <c r="C57" s="266">
        <f>'Sources and Uses Budget'!$C56</f>
        <v>0</v>
      </c>
      <c r="D57" s="270">
        <f t="shared" si="0"/>
        <v>0</v>
      </c>
      <c r="E57" s="268"/>
      <c r="F57" s="267"/>
    </row>
    <row r="58" spans="1:6" s="352" customFormat="1" ht="12" customHeight="1">
      <c r="A58" s="269" t="s">
        <v>152</v>
      </c>
      <c r="B58" s="266">
        <f>'Sources and Uses Budget'!$C57</f>
        <v>10000</v>
      </c>
      <c r="C58" s="266">
        <f>'Sources and Uses Budget'!$C57</f>
        <v>10000</v>
      </c>
      <c r="D58" s="270">
        <f t="shared" si="0"/>
        <v>0</v>
      </c>
      <c r="E58" s="268"/>
      <c r="F58" s="267"/>
    </row>
    <row r="59" spans="1:6" s="352" customFormat="1">
      <c r="A59" s="269" t="s">
        <v>156</v>
      </c>
      <c r="B59" s="266">
        <f>'Sources and Uses Budget'!$C58</f>
        <v>5000</v>
      </c>
      <c r="C59" s="266">
        <f>'Sources and Uses Budget'!$C58</f>
        <v>5000</v>
      </c>
      <c r="D59" s="270">
        <f t="shared" si="0"/>
        <v>0</v>
      </c>
      <c r="E59" s="268"/>
      <c r="F59" s="267"/>
    </row>
    <row r="60" spans="1:6" s="352" customFormat="1">
      <c r="A60" s="269" t="s">
        <v>154</v>
      </c>
      <c r="B60" s="266">
        <f>'Sources and Uses Budget'!$C59</f>
        <v>0</v>
      </c>
      <c r="C60" s="266">
        <f>'Sources and Uses Budget'!$C59</f>
        <v>0</v>
      </c>
      <c r="D60" s="270">
        <f t="shared" si="0"/>
        <v>0</v>
      </c>
      <c r="E60" s="268"/>
      <c r="F60" s="267"/>
    </row>
    <row r="61" spans="1:6" s="352" customFormat="1">
      <c r="A61" s="269" t="s">
        <v>155</v>
      </c>
      <c r="B61" s="266">
        <f>'Sources and Uses Budget'!$C60</f>
        <v>0</v>
      </c>
      <c r="C61" s="266">
        <f>'Sources and Uses Budget'!$C60</f>
        <v>0</v>
      </c>
      <c r="D61" s="270">
        <f t="shared" si="0"/>
        <v>0</v>
      </c>
      <c r="E61" s="268"/>
      <c r="F61" s="267"/>
    </row>
    <row r="62" spans="1:6" s="352" customFormat="1">
      <c r="A62" s="1014" t="str">
        <f>'Sources and Uses Budget'!A61</f>
        <v>Other: (Specify)</v>
      </c>
      <c r="B62" s="266">
        <f>'Sources and Uses Budget'!$C61</f>
        <v>0</v>
      </c>
      <c r="C62" s="266">
        <f>'Sources and Uses Budget'!$C61</f>
        <v>0</v>
      </c>
      <c r="D62" s="270">
        <f t="shared" si="0"/>
        <v>0</v>
      </c>
      <c r="E62" s="268"/>
      <c r="F62" s="267"/>
    </row>
    <row r="63" spans="1:6" s="352" customFormat="1" ht="13.7" customHeight="1">
      <c r="A63" s="271" t="s">
        <v>301</v>
      </c>
      <c r="B63" s="270">
        <f>SUM(B57:B62)</f>
        <v>15000</v>
      </c>
      <c r="C63" s="270">
        <f>SUM(C57:C62)</f>
        <v>15000</v>
      </c>
      <c r="D63" s="270">
        <f t="shared" si="0"/>
        <v>0</v>
      </c>
      <c r="E63" s="268"/>
      <c r="F63" s="267"/>
    </row>
    <row r="64" spans="1:6" s="352" customFormat="1">
      <c r="A64" s="274" t="s">
        <v>302</v>
      </c>
      <c r="B64" s="270">
        <f>SUM(B9+B12+B14+B15+B17+B26+B28+B39+B43+B44+B55+B63)</f>
        <v>26024704</v>
      </c>
      <c r="C64" s="270">
        <f>SUM(C9+C12+C14+C15+C17+C26+C28+C39+C43+C44+C55+C63)</f>
        <v>26024704</v>
      </c>
      <c r="D64" s="270">
        <f t="shared" si="0"/>
        <v>0</v>
      </c>
      <c r="E64" s="268"/>
      <c r="F64" s="267"/>
    </row>
    <row r="65" spans="1:6" s="352" customFormat="1" ht="24">
      <c r="A65" s="141" t="s">
        <v>1633</v>
      </c>
      <c r="B65" s="264"/>
      <c r="C65" s="264"/>
      <c r="D65" s="264"/>
      <c r="E65" s="282"/>
      <c r="F65" s="264"/>
    </row>
    <row r="66" spans="1:6" s="352" customFormat="1">
      <c r="A66" s="145" t="s">
        <v>171</v>
      </c>
      <c r="B66" s="266">
        <f>'Sources and Uses Budget'!$C65</f>
        <v>65000</v>
      </c>
      <c r="C66" s="266">
        <f>'Sources and Uses Budget'!$C65</f>
        <v>65000</v>
      </c>
      <c r="D66" s="270">
        <f t="shared" si="0"/>
        <v>0</v>
      </c>
      <c r="E66" s="268"/>
      <c r="F66" s="267"/>
    </row>
    <row r="67" spans="1:6" s="352" customFormat="1" ht="24">
      <c r="A67" s="283" t="s">
        <v>1630</v>
      </c>
      <c r="B67" s="266">
        <f>'Sources and Uses Budget'!$C66</f>
        <v>0</v>
      </c>
      <c r="C67" s="266">
        <f>'Sources and Uses Budget'!$C66</f>
        <v>0</v>
      </c>
      <c r="D67" s="270"/>
      <c r="E67" s="268"/>
      <c r="F67" s="267"/>
    </row>
    <row r="68" spans="1:6" s="352" customFormat="1" ht="24">
      <c r="A68" s="283" t="s">
        <v>1631</v>
      </c>
      <c r="B68" s="266">
        <f>'Sources and Uses Budget'!$C67</f>
        <v>0</v>
      </c>
      <c r="C68" s="266">
        <f>'Sources and Uses Budget'!$C67</f>
        <v>0</v>
      </c>
      <c r="D68" s="270"/>
      <c r="E68" s="268"/>
      <c r="F68" s="267"/>
    </row>
    <row r="69" spans="1:6" s="352" customFormat="1">
      <c r="A69" s="283" t="s">
        <v>1637</v>
      </c>
      <c r="B69" s="266">
        <f>'Sources and Uses Budget'!$C68</f>
        <v>0</v>
      </c>
      <c r="C69" s="266">
        <f>'Sources and Uses Budget'!$C68</f>
        <v>0</v>
      </c>
      <c r="D69" s="270"/>
      <c r="E69" s="268"/>
      <c r="F69" s="267"/>
    </row>
    <row r="70" spans="1:6" s="352" customFormat="1">
      <c r="A70" s="155" t="str">
        <f>'Sources and Uses Budget'!A69</f>
        <v>Borrower's Attorney</v>
      </c>
      <c r="B70" s="266">
        <f>'Sources and Uses Budget'!$C69</f>
        <v>50000</v>
      </c>
      <c r="C70" s="266">
        <f>'Sources and Uses Budget'!$C69</f>
        <v>50000</v>
      </c>
      <c r="D70" s="270">
        <f t="shared" si="0"/>
        <v>0</v>
      </c>
      <c r="E70" s="268"/>
      <c r="F70" s="267"/>
    </row>
    <row r="71" spans="1:6" s="352" customFormat="1">
      <c r="A71" s="149" t="s">
        <v>1634</v>
      </c>
      <c r="B71" s="270">
        <f>SUM(B66:B70)</f>
        <v>115000</v>
      </c>
      <c r="C71" s="270">
        <f>SUM(C66:C70)</f>
        <v>115000</v>
      </c>
      <c r="D71" s="270">
        <f t="shared" si="0"/>
        <v>0</v>
      </c>
      <c r="E71" s="268"/>
      <c r="F71" s="267"/>
    </row>
    <row r="72" spans="1:6" s="352" customFormat="1">
      <c r="A72" s="264" t="s">
        <v>602</v>
      </c>
      <c r="B72" s="264"/>
      <c r="C72" s="264"/>
      <c r="D72" s="264"/>
      <c r="E72" s="282"/>
      <c r="F72" s="264"/>
    </row>
    <row r="73" spans="1:6" s="352" customFormat="1">
      <c r="A73" s="269" t="s">
        <v>603</v>
      </c>
      <c r="B73" s="266">
        <f>'Sources and Uses Budget'!$C72</f>
        <v>30000</v>
      </c>
      <c r="C73" s="266">
        <f>'Sources and Uses Budget'!$C72</f>
        <v>30000</v>
      </c>
      <c r="D73" s="270">
        <f t="shared" si="0"/>
        <v>0</v>
      </c>
      <c r="E73" s="268"/>
      <c r="F73" s="267"/>
    </row>
    <row r="74" spans="1:6" s="352" customFormat="1">
      <c r="A74" s="269" t="s">
        <v>604</v>
      </c>
      <c r="B74" s="266">
        <f>'Sources and Uses Budget'!$C73</f>
        <v>0</v>
      </c>
      <c r="C74" s="266">
        <f>'Sources and Uses Budget'!$C73</f>
        <v>0</v>
      </c>
      <c r="D74" s="270">
        <f t="shared" si="0"/>
        <v>0</v>
      </c>
      <c r="E74" s="268"/>
      <c r="F74" s="267"/>
    </row>
    <row r="75" spans="1:6" s="352" customFormat="1">
      <c r="A75" s="287" t="s">
        <v>986</v>
      </c>
      <c r="B75" s="266">
        <f>'Sources and Uses Budget'!$C74</f>
        <v>0</v>
      </c>
      <c r="C75" s="266">
        <f>'Sources and Uses Budget'!$C74</f>
        <v>0</v>
      </c>
      <c r="D75" s="270">
        <f t="shared" si="0"/>
        <v>0</v>
      </c>
      <c r="E75" s="268"/>
      <c r="F75" s="267"/>
    </row>
    <row r="76" spans="1:6" s="352" customFormat="1">
      <c r="A76" s="269" t="s">
        <v>605</v>
      </c>
      <c r="B76" s="266">
        <f>'Sources and Uses Budget'!$C75</f>
        <v>222868</v>
      </c>
      <c r="C76" s="266">
        <f>'Sources and Uses Budget'!$C75</f>
        <v>222868</v>
      </c>
      <c r="D76" s="270">
        <f t="shared" si="0"/>
        <v>0</v>
      </c>
      <c r="E76" s="268"/>
      <c r="F76" s="267"/>
    </row>
    <row r="77" spans="1:6" s="352" customFormat="1">
      <c r="A77" s="272" t="s">
        <v>34</v>
      </c>
      <c r="B77" s="266">
        <f>'Sources and Uses Budget'!$C76</f>
        <v>0</v>
      </c>
      <c r="C77" s="266">
        <f>'Sources and Uses Budget'!$C76</f>
        <v>0</v>
      </c>
      <c r="D77" s="270">
        <f t="shared" si="0"/>
        <v>0</v>
      </c>
      <c r="E77" s="268"/>
      <c r="F77" s="267"/>
    </row>
    <row r="78" spans="1:6" s="352" customFormat="1">
      <c r="A78" s="271" t="s">
        <v>606</v>
      </c>
      <c r="B78" s="270">
        <f>SUM(B73:B77)</f>
        <v>252868</v>
      </c>
      <c r="C78" s="270">
        <f>SUM(C73:C77)</f>
        <v>252868</v>
      </c>
      <c r="D78" s="270">
        <f t="shared" ref="D78:D106" si="1">C78-B78</f>
        <v>0</v>
      </c>
      <c r="E78" s="268"/>
      <c r="F78" s="267"/>
    </row>
    <row r="79" spans="1:6" s="352" customFormat="1">
      <c r="A79" s="264" t="s">
        <v>1210</v>
      </c>
      <c r="B79" s="264"/>
      <c r="C79" s="264"/>
      <c r="D79" s="264"/>
      <c r="E79" s="282"/>
      <c r="F79" s="264"/>
    </row>
    <row r="80" spans="1:6" s="352" customFormat="1">
      <c r="A80" s="510" t="s">
        <v>1212</v>
      </c>
      <c r="B80" s="266">
        <f>'Sources and Uses Budget'!$C79</f>
        <v>1035608</v>
      </c>
      <c r="C80" s="266">
        <f>'Sources and Uses Budget'!$C79</f>
        <v>1035608</v>
      </c>
      <c r="D80" s="270">
        <f t="shared" si="1"/>
        <v>0</v>
      </c>
      <c r="E80" s="268"/>
      <c r="F80" s="267"/>
    </row>
    <row r="81" spans="1:6" s="352" customFormat="1">
      <c r="A81" s="510" t="s">
        <v>58</v>
      </c>
      <c r="B81" s="266">
        <f>'Sources and Uses Budget'!$C80</f>
        <v>217447</v>
      </c>
      <c r="C81" s="266">
        <f>'Sources and Uses Budget'!$C80</f>
        <v>217447</v>
      </c>
      <c r="D81" s="270">
        <f>C81-B81</f>
        <v>0</v>
      </c>
      <c r="E81" s="268"/>
      <c r="F81" s="267"/>
    </row>
    <row r="82" spans="1:6" s="352" customFormat="1">
      <c r="A82" s="271" t="s">
        <v>1209</v>
      </c>
      <c r="B82" s="270">
        <f>SUM(B80:B81)</f>
        <v>1253055</v>
      </c>
      <c r="C82" s="270">
        <f>SUM(C80:C81)</f>
        <v>1253055</v>
      </c>
      <c r="D82" s="270">
        <f t="shared" si="1"/>
        <v>0</v>
      </c>
      <c r="E82" s="268"/>
      <c r="F82" s="267"/>
    </row>
    <row r="83" spans="1:6" s="352" customFormat="1">
      <c r="A83" s="264" t="s">
        <v>765</v>
      </c>
      <c r="B83" s="264"/>
      <c r="C83" s="264"/>
      <c r="D83" s="264"/>
      <c r="E83" s="282"/>
      <c r="F83" s="264"/>
    </row>
    <row r="84" spans="1:6" s="352" customFormat="1" ht="13.7" customHeight="1">
      <c r="A84" s="269" t="s">
        <v>766</v>
      </c>
      <c r="B84" s="266">
        <f>'Sources and Uses Budget'!$C83</f>
        <v>108180</v>
      </c>
      <c r="C84" s="266">
        <f>'Sources and Uses Budget'!$C83</f>
        <v>108180</v>
      </c>
      <c r="D84" s="270">
        <f t="shared" si="1"/>
        <v>0</v>
      </c>
      <c r="E84" s="268"/>
      <c r="F84" s="267"/>
    </row>
    <row r="85" spans="1:6" s="352" customFormat="1">
      <c r="A85" s="269" t="s">
        <v>767</v>
      </c>
      <c r="B85" s="266">
        <f>'Sources and Uses Budget'!$C84</f>
        <v>7000</v>
      </c>
      <c r="C85" s="266">
        <f>'Sources and Uses Budget'!$C84</f>
        <v>7000</v>
      </c>
      <c r="D85" s="270">
        <f t="shared" si="1"/>
        <v>0</v>
      </c>
      <c r="E85" s="268"/>
      <c r="F85" s="267"/>
    </row>
    <row r="86" spans="1:6" s="352" customFormat="1">
      <c r="A86" s="269" t="s">
        <v>768</v>
      </c>
      <c r="B86" s="266">
        <f>'Sources and Uses Budget'!$C85</f>
        <v>2460257</v>
      </c>
      <c r="C86" s="266">
        <f>'Sources and Uses Budget'!$C85</f>
        <v>2460257</v>
      </c>
      <c r="D86" s="270">
        <f t="shared" si="1"/>
        <v>0</v>
      </c>
      <c r="E86" s="268"/>
      <c r="F86" s="267"/>
    </row>
    <row r="87" spans="1:6" s="352" customFormat="1">
      <c r="A87" s="269" t="s">
        <v>769</v>
      </c>
      <c r="B87" s="266">
        <f>'Sources and Uses Budget'!$C86</f>
        <v>90036</v>
      </c>
      <c r="C87" s="266">
        <f>'Sources and Uses Budget'!$C86</f>
        <v>90036</v>
      </c>
      <c r="D87" s="270">
        <f t="shared" si="1"/>
        <v>0</v>
      </c>
      <c r="E87" s="268"/>
      <c r="F87" s="267"/>
    </row>
    <row r="88" spans="1:6" s="352" customFormat="1">
      <c r="A88" s="269" t="s">
        <v>770</v>
      </c>
      <c r="B88" s="266">
        <f>'Sources and Uses Budget'!$C87</f>
        <v>0</v>
      </c>
      <c r="C88" s="266">
        <f>'Sources and Uses Budget'!$C87</f>
        <v>0</v>
      </c>
      <c r="D88" s="270">
        <f t="shared" si="1"/>
        <v>0</v>
      </c>
      <c r="E88" s="268"/>
      <c r="F88" s="267"/>
    </row>
    <row r="89" spans="1:6" s="352" customFormat="1">
      <c r="A89" s="269" t="s">
        <v>771</v>
      </c>
      <c r="B89" s="266">
        <f>'Sources and Uses Budget'!$C88</f>
        <v>30435</v>
      </c>
      <c r="C89" s="266">
        <f>'Sources and Uses Budget'!$C88</f>
        <v>30435</v>
      </c>
      <c r="D89" s="270">
        <f t="shared" si="1"/>
        <v>0</v>
      </c>
      <c r="E89" s="268"/>
      <c r="F89" s="267"/>
    </row>
    <row r="90" spans="1:6" s="352" customFormat="1">
      <c r="A90" s="269" t="s">
        <v>772</v>
      </c>
      <c r="B90" s="266">
        <f>'Sources and Uses Budget'!$C89</f>
        <v>40000</v>
      </c>
      <c r="C90" s="266">
        <f>'Sources and Uses Budget'!$C89</f>
        <v>40000</v>
      </c>
      <c r="D90" s="270">
        <f t="shared" si="1"/>
        <v>0</v>
      </c>
      <c r="E90" s="268"/>
      <c r="F90" s="267"/>
    </row>
    <row r="91" spans="1:6" s="352" customFormat="1">
      <c r="A91" s="269" t="s">
        <v>773</v>
      </c>
      <c r="B91" s="266">
        <f>'Sources and Uses Budget'!$C90</f>
        <v>10000</v>
      </c>
      <c r="C91" s="266">
        <f>'Sources and Uses Budget'!$C90</f>
        <v>10000</v>
      </c>
      <c r="D91" s="270">
        <f t="shared" si="1"/>
        <v>0</v>
      </c>
      <c r="E91" s="268"/>
      <c r="F91" s="267"/>
    </row>
    <row r="92" spans="1:6" s="352" customFormat="1">
      <c r="A92" s="269" t="s">
        <v>372</v>
      </c>
      <c r="B92" s="266">
        <f>'Sources and Uses Budget'!$C91</f>
        <v>45000</v>
      </c>
      <c r="C92" s="266">
        <f>'Sources and Uses Budget'!$C91</f>
        <v>45000</v>
      </c>
      <c r="D92" s="270">
        <f t="shared" si="1"/>
        <v>0</v>
      </c>
      <c r="E92" s="268"/>
      <c r="F92" s="267"/>
    </row>
    <row r="93" spans="1:6" s="352" customFormat="1">
      <c r="A93" s="510" t="s">
        <v>1211</v>
      </c>
      <c r="B93" s="266">
        <f>'Sources and Uses Budget'!$C92</f>
        <v>7500</v>
      </c>
      <c r="C93" s="266">
        <f>'Sources and Uses Budget'!$C92</f>
        <v>7500</v>
      </c>
      <c r="D93" s="270">
        <f t="shared" si="1"/>
        <v>0</v>
      </c>
      <c r="E93" s="268"/>
      <c r="F93" s="267"/>
    </row>
    <row r="94" spans="1:6" s="352" customFormat="1">
      <c r="A94" s="272" t="s">
        <v>34</v>
      </c>
      <c r="B94" s="266">
        <f>'Sources and Uses Budget'!$C93</f>
        <v>0</v>
      </c>
      <c r="C94" s="266">
        <f>'Sources and Uses Budget'!$C93</f>
        <v>0</v>
      </c>
      <c r="D94" s="270">
        <f t="shared" si="1"/>
        <v>0</v>
      </c>
      <c r="E94" s="268"/>
      <c r="F94" s="267"/>
    </row>
    <row r="95" spans="1:6" s="352" customFormat="1">
      <c r="A95" s="272" t="s">
        <v>34</v>
      </c>
      <c r="B95" s="266">
        <f>'Sources and Uses Budget'!$C94</f>
        <v>0</v>
      </c>
      <c r="C95" s="266">
        <f>'Sources and Uses Budget'!$C94</f>
        <v>0</v>
      </c>
      <c r="D95" s="270">
        <f t="shared" si="1"/>
        <v>0</v>
      </c>
      <c r="E95" s="268"/>
      <c r="F95" s="267"/>
    </row>
    <row r="96" spans="1:6" s="352" customFormat="1">
      <c r="A96" s="272" t="s">
        <v>34</v>
      </c>
      <c r="B96" s="266">
        <f>'Sources and Uses Budget'!$C95</f>
        <v>0</v>
      </c>
      <c r="C96" s="266">
        <f>'Sources and Uses Budget'!$C95</f>
        <v>0</v>
      </c>
      <c r="D96" s="270">
        <f t="shared" si="1"/>
        <v>0</v>
      </c>
      <c r="E96" s="268"/>
      <c r="F96" s="267"/>
    </row>
    <row r="97" spans="1:6" s="352" customFormat="1">
      <c r="A97" s="271" t="s">
        <v>774</v>
      </c>
      <c r="B97" s="270">
        <f>SUM(B84:B96)</f>
        <v>2798408</v>
      </c>
      <c r="C97" s="270">
        <f>SUM(C84:C96)</f>
        <v>2798408</v>
      </c>
      <c r="D97" s="270">
        <f t="shared" si="1"/>
        <v>0</v>
      </c>
      <c r="E97" s="268"/>
      <c r="F97" s="267"/>
    </row>
    <row r="98" spans="1:6" s="352" customFormat="1">
      <c r="A98" s="271" t="s">
        <v>775</v>
      </c>
      <c r="B98" s="270">
        <f>SUM(B64+B71+B78+B82+B97)</f>
        <v>30444035</v>
      </c>
      <c r="C98" s="270">
        <f>SUM(C64+C71+C78+C82+C97)</f>
        <v>30444035</v>
      </c>
      <c r="D98" s="270">
        <f t="shared" si="1"/>
        <v>0</v>
      </c>
      <c r="E98" s="268"/>
      <c r="F98" s="267"/>
    </row>
    <row r="99" spans="1:6" s="352" customFormat="1">
      <c r="A99" s="264" t="s">
        <v>776</v>
      </c>
      <c r="B99" s="264"/>
      <c r="C99" s="264"/>
      <c r="D99" s="264"/>
      <c r="E99" s="282"/>
      <c r="F99" s="264"/>
    </row>
    <row r="100" spans="1:6" s="352" customFormat="1">
      <c r="A100" s="145" t="s">
        <v>777</v>
      </c>
      <c r="B100" s="266">
        <f>'Sources and Uses Budget'!$C99</f>
        <v>3739102</v>
      </c>
      <c r="C100" s="266">
        <f>'Sources and Uses Budget'!$C99</f>
        <v>3739102</v>
      </c>
      <c r="D100" s="270">
        <f t="shared" si="1"/>
        <v>0</v>
      </c>
      <c r="E100" s="268"/>
      <c r="F100" s="267"/>
    </row>
    <row r="101" spans="1:6" s="352" customFormat="1">
      <c r="A101" s="283" t="s">
        <v>1635</v>
      </c>
      <c r="B101" s="266">
        <f>'Sources and Uses Budget'!$C100</f>
        <v>0</v>
      </c>
      <c r="C101" s="266">
        <f>'Sources and Uses Budget'!$C100</f>
        <v>0</v>
      </c>
      <c r="D101" s="270">
        <f t="shared" si="1"/>
        <v>0</v>
      </c>
      <c r="E101" s="268"/>
      <c r="F101" s="267"/>
    </row>
    <row r="102" spans="1:6" s="352" customFormat="1">
      <c r="A102" s="145" t="s">
        <v>778</v>
      </c>
      <c r="B102" s="266">
        <f>'Sources and Uses Budget'!$C101</f>
        <v>0</v>
      </c>
      <c r="C102" s="266">
        <f>'Sources and Uses Budget'!$C101</f>
        <v>0</v>
      </c>
      <c r="D102" s="270">
        <f t="shared" si="1"/>
        <v>0</v>
      </c>
      <c r="E102" s="268"/>
      <c r="F102" s="267"/>
    </row>
    <row r="103" spans="1:6" s="352" customFormat="1" ht="12" customHeight="1">
      <c r="A103" s="283" t="s">
        <v>1636</v>
      </c>
      <c r="B103" s="266">
        <f>'Sources and Uses Budget'!$C102</f>
        <v>0</v>
      </c>
      <c r="C103" s="266">
        <f>'Sources and Uses Budget'!$C102</f>
        <v>0</v>
      </c>
      <c r="D103" s="270">
        <f t="shared" si="1"/>
        <v>0</v>
      </c>
      <c r="E103" s="268"/>
      <c r="F103" s="267"/>
    </row>
    <row r="104" spans="1:6" s="352" customFormat="1">
      <c r="A104" s="1014" t="str">
        <f>'Sources and Uses Budget'!A103</f>
        <v>Other: (Specify)</v>
      </c>
      <c r="B104" s="266">
        <f>'Sources and Uses Budget'!$C103</f>
        <v>0</v>
      </c>
      <c r="C104" s="266">
        <f>'Sources and Uses Budget'!$C103</f>
        <v>0</v>
      </c>
      <c r="D104" s="270">
        <f t="shared" si="1"/>
        <v>0</v>
      </c>
      <c r="E104" s="268"/>
      <c r="F104" s="267"/>
    </row>
    <row r="105" spans="1:6" s="352" customFormat="1">
      <c r="A105" s="271" t="s">
        <v>779</v>
      </c>
      <c r="B105" s="270">
        <f>SUM(B100:B104)</f>
        <v>3739102</v>
      </c>
      <c r="C105" s="270">
        <f>SUM(C100:C104)</f>
        <v>3739102</v>
      </c>
      <c r="D105" s="270">
        <f t="shared" si="1"/>
        <v>0</v>
      </c>
      <c r="E105" s="268"/>
      <c r="F105" s="267"/>
    </row>
    <row r="106" spans="1:6" s="352" customFormat="1">
      <c r="A106" s="271" t="s">
        <v>780</v>
      </c>
      <c r="B106" s="273">
        <f>SUM(B98+B105)</f>
        <v>34183137</v>
      </c>
      <c r="C106" s="273">
        <f>SUM(C98+C105)</f>
        <v>34183137</v>
      </c>
      <c r="D106" s="270">
        <f t="shared" si="1"/>
        <v>0</v>
      </c>
      <c r="E106" s="268"/>
      <c r="F106" s="267"/>
    </row>
    <row r="107" spans="1:6" s="352" customFormat="1">
      <c r="A107" s="277" t="s">
        <v>781</v>
      </c>
      <c r="B107" s="278"/>
      <c r="C107" s="279"/>
      <c r="D107" s="281"/>
      <c r="E107" s="265"/>
      <c r="F107" s="276"/>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95"/>
  <sheetViews>
    <sheetView showGridLines="0" workbookViewId="0">
      <selection activeCell="A10" sqref="A10:J15"/>
    </sheetView>
  </sheetViews>
  <sheetFormatPr defaultColWidth="0" defaultRowHeight="12.4" customHeight="1" zeroHeight="1"/>
  <cols>
    <col min="1" max="10" width="10.7109375" style="402" customWidth="1"/>
    <col min="11" max="16384" width="8.85546875" style="402" hidden="1"/>
  </cols>
  <sheetData>
    <row r="1" spans="1:10" ht="15.75">
      <c r="A1" s="1808" t="s">
        <v>1842</v>
      </c>
      <c r="B1" s="1809"/>
      <c r="C1" s="1809"/>
      <c r="D1" s="1809"/>
      <c r="E1" s="1809"/>
      <c r="F1" s="1809"/>
      <c r="G1" s="1809"/>
      <c r="H1" s="1809"/>
      <c r="I1" s="1809"/>
      <c r="J1" s="1809"/>
    </row>
    <row r="2" spans="1:10" ht="15">
      <c r="A2" s="1812" t="s">
        <v>1268</v>
      </c>
      <c r="B2" s="1813"/>
      <c r="C2" s="1813"/>
      <c r="D2" s="1813"/>
      <c r="E2" s="1813"/>
      <c r="F2" s="1813"/>
      <c r="G2" s="1813"/>
      <c r="H2" s="1813"/>
      <c r="I2" s="1813"/>
      <c r="J2" s="1813"/>
    </row>
    <row r="3" spans="1:10" ht="12.75"/>
    <row r="4" spans="1:10" ht="12.75" customHeight="1">
      <c r="A4" s="1810" t="s">
        <v>2005</v>
      </c>
      <c r="B4" s="1810"/>
      <c r="C4" s="1810"/>
      <c r="D4" s="1810"/>
      <c r="E4" s="1810"/>
      <c r="F4" s="1810"/>
      <c r="G4" s="1810"/>
      <c r="H4" s="1810"/>
      <c r="I4" s="1810"/>
      <c r="J4" s="1810"/>
    </row>
    <row r="5" spans="1:10" ht="12.75">
      <c r="A5" s="1810"/>
      <c r="B5" s="1810"/>
      <c r="C5" s="1810"/>
      <c r="D5" s="1810"/>
      <c r="E5" s="1810"/>
      <c r="F5" s="1810"/>
      <c r="G5" s="1810"/>
      <c r="H5" s="1810"/>
      <c r="I5" s="1810"/>
      <c r="J5" s="1810"/>
    </row>
    <row r="6" spans="1:10" ht="30" customHeight="1">
      <c r="A6" s="1810"/>
      <c r="B6" s="1810"/>
      <c r="C6" s="1810"/>
      <c r="D6" s="1810"/>
      <c r="E6" s="1810"/>
      <c r="F6" s="1810"/>
      <c r="G6" s="1810"/>
      <c r="H6" s="1810"/>
      <c r="I6" s="1810"/>
      <c r="J6" s="1810"/>
    </row>
    <row r="7" spans="1:10" ht="12.75">
      <c r="A7" s="416"/>
      <c r="B7" s="416"/>
      <c r="C7" s="416"/>
      <c r="D7" s="416"/>
      <c r="E7" s="416"/>
      <c r="F7" s="416"/>
      <c r="G7" s="416"/>
      <c r="H7" s="416"/>
      <c r="I7" s="416"/>
      <c r="J7" s="416"/>
    </row>
    <row r="8" spans="1:10" ht="12.75" customHeight="1">
      <c r="A8" s="402" t="s">
        <v>1845</v>
      </c>
      <c r="B8" s="416"/>
      <c r="C8" s="416"/>
      <c r="D8" s="416"/>
      <c r="E8" s="416"/>
      <c r="F8" s="416"/>
      <c r="G8" s="416"/>
      <c r="H8" s="416"/>
      <c r="I8" s="416"/>
      <c r="J8" s="416"/>
    </row>
    <row r="9" spans="1:10" ht="12.75"/>
    <row r="10" spans="1:10" ht="12.75" customHeight="1">
      <c r="A10" s="1814" t="s">
        <v>1847</v>
      </c>
      <c r="B10" s="1814"/>
      <c r="C10" s="1814"/>
      <c r="D10" s="1814"/>
      <c r="E10" s="1814"/>
      <c r="F10" s="1814"/>
      <c r="G10" s="1814"/>
      <c r="H10" s="1814"/>
      <c r="I10" s="1814"/>
      <c r="J10" s="1814"/>
    </row>
    <row r="11" spans="1:10" ht="12.75">
      <c r="A11" s="1814"/>
      <c r="B11" s="1814"/>
      <c r="C11" s="1814"/>
      <c r="D11" s="1814"/>
      <c r="E11" s="1814"/>
      <c r="F11" s="1814"/>
      <c r="G11" s="1814"/>
      <c r="H11" s="1814"/>
      <c r="I11" s="1814"/>
      <c r="J11" s="1814"/>
    </row>
    <row r="12" spans="1:10" ht="12.75">
      <c r="A12" s="1814"/>
      <c r="B12" s="1814"/>
      <c r="C12" s="1814"/>
      <c r="D12" s="1814"/>
      <c r="E12" s="1814"/>
      <c r="F12" s="1814"/>
      <c r="G12" s="1814"/>
      <c r="H12" s="1814"/>
      <c r="I12" s="1814"/>
      <c r="J12" s="1814"/>
    </row>
    <row r="13" spans="1:10" ht="12.75">
      <c r="A13" s="1814"/>
      <c r="B13" s="1814"/>
      <c r="C13" s="1814"/>
      <c r="D13" s="1814"/>
      <c r="E13" s="1814"/>
      <c r="F13" s="1814"/>
      <c r="G13" s="1814"/>
      <c r="H13" s="1814"/>
      <c r="I13" s="1814"/>
      <c r="J13" s="1814"/>
    </row>
    <row r="14" spans="1:10" ht="12.75">
      <c r="A14" s="1814"/>
      <c r="B14" s="1814"/>
      <c r="C14" s="1814"/>
      <c r="D14" s="1814"/>
      <c r="E14" s="1814"/>
      <c r="F14" s="1814"/>
      <c r="G14" s="1814"/>
      <c r="H14" s="1814"/>
      <c r="I14" s="1814"/>
      <c r="J14" s="1814"/>
    </row>
    <row r="15" spans="1:10" ht="12.75">
      <c r="A15" s="1814"/>
      <c r="B15" s="1814"/>
      <c r="C15" s="1814"/>
      <c r="D15" s="1814"/>
      <c r="E15" s="1814"/>
      <c r="F15" s="1814"/>
      <c r="G15" s="1814"/>
      <c r="H15" s="1814"/>
      <c r="I15" s="1814"/>
      <c r="J15" s="1814"/>
    </row>
    <row r="16" spans="1:10" ht="12.75">
      <c r="A16" s="524"/>
      <c r="B16" s="524"/>
      <c r="C16" s="524"/>
      <c r="D16" s="524"/>
      <c r="E16" s="524"/>
      <c r="F16" s="524"/>
      <c r="G16" s="524"/>
      <c r="H16" s="524"/>
      <c r="I16" s="524"/>
      <c r="J16" s="524"/>
    </row>
    <row r="17" spans="1:10" ht="12.75">
      <c r="A17" s="476" t="s">
        <v>1846</v>
      </c>
      <c r="B17" s="416"/>
      <c r="C17" s="416"/>
      <c r="D17" s="416"/>
      <c r="E17" s="416"/>
      <c r="F17" s="416"/>
      <c r="G17" s="416"/>
      <c r="H17" s="416"/>
      <c r="I17" s="416"/>
      <c r="J17" s="416"/>
    </row>
    <row r="18" spans="1:10" ht="12.75">
      <c r="A18" s="416" t="s">
        <v>250</v>
      </c>
      <c r="B18" s="416"/>
      <c r="C18" s="416"/>
      <c r="D18" s="416"/>
      <c r="E18" s="416"/>
      <c r="F18" s="416"/>
      <c r="G18" s="416"/>
      <c r="H18" s="416"/>
      <c r="I18" s="416"/>
      <c r="J18" s="416"/>
    </row>
    <row r="19" spans="1:10" ht="12.75">
      <c r="A19" s="1813" t="s">
        <v>1189</v>
      </c>
      <c r="B19" s="1813"/>
      <c r="C19" s="1813"/>
      <c r="D19" s="1813"/>
      <c r="E19" s="1813"/>
    </row>
    <row r="20" spans="1:10" ht="12.75"/>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ht="12.75"/>
    <row r="50" ht="12.75"/>
    <row r="51" ht="12.75"/>
    <row r="52" ht="12.75"/>
    <row r="53" ht="12.75"/>
    <row r="54" ht="12.75"/>
    <row r="55" ht="12.75"/>
    <row r="56" ht="12.75"/>
    <row r="57" ht="12.75"/>
    <row r="58" ht="12.75"/>
    <row r="59" ht="12.75"/>
    <row r="60" ht="12.75"/>
    <row r="61" ht="12.75"/>
    <row r="62" ht="12.75"/>
    <row r="63" ht="12.75"/>
    <row r="64" ht="12.75"/>
    <row r="65" spans="1:10" ht="12.75"/>
    <row r="66" spans="1:10" ht="12.75"/>
    <row r="67" spans="1:10" ht="12.75"/>
    <row r="68" spans="1:10" ht="12.75"/>
    <row r="69" spans="1:10" ht="12.75"/>
    <row r="70" spans="1:10" ht="12.75"/>
    <row r="71" spans="1:10" ht="12.75"/>
    <row r="72" spans="1:10" ht="12.75"/>
    <row r="73" spans="1:10" ht="12.75"/>
    <row r="74" spans="1:10" ht="12.75"/>
    <row r="75" spans="1:10" ht="12.75"/>
    <row r="76" spans="1:10" ht="12.75">
      <c r="A76" s="1810" t="s">
        <v>1190</v>
      </c>
      <c r="B76" s="1810"/>
      <c r="C76" s="1810"/>
      <c r="D76" s="1810"/>
      <c r="E76" s="1810"/>
      <c r="F76" s="1810"/>
      <c r="G76" s="1810"/>
      <c r="H76" s="1810"/>
      <c r="I76" s="1810"/>
      <c r="J76" s="1810"/>
    </row>
    <row r="77" spans="1:10" ht="12.75">
      <c r="A77" s="1810"/>
      <c r="B77" s="1810"/>
      <c r="C77" s="1810"/>
      <c r="D77" s="1810"/>
      <c r="E77" s="1810"/>
      <c r="F77" s="1810"/>
      <c r="G77" s="1810"/>
      <c r="H77" s="1810"/>
      <c r="I77" s="1810"/>
      <c r="J77" s="1810"/>
    </row>
    <row r="78" spans="1:10" ht="12.75">
      <c r="A78" s="1810"/>
      <c r="B78" s="1810"/>
      <c r="C78" s="1810"/>
      <c r="D78" s="1810"/>
      <c r="E78" s="1810"/>
      <c r="F78" s="1810"/>
      <c r="G78" s="1810"/>
      <c r="H78" s="1810"/>
      <c r="I78" s="1810"/>
      <c r="J78" s="1810"/>
    </row>
    <row r="79" spans="1:10" ht="12.75"/>
    <row r="80" spans="1:10" ht="12.75">
      <c r="A80" s="402" t="s">
        <v>1189</v>
      </c>
    </row>
    <row r="81" spans="1:9" ht="12.75"/>
    <row r="82" spans="1:9" ht="12.75"/>
    <row r="83" spans="1:9" ht="12.75"/>
    <row r="84" spans="1:9" ht="12.75"/>
    <row r="85" spans="1:9" ht="12.75"/>
    <row r="86" spans="1:9" ht="12.75"/>
    <row r="87" spans="1:9" ht="12.75"/>
    <row r="88" spans="1:9" ht="12.75"/>
    <row r="89" spans="1:9" ht="12.75">
      <c r="A89" s="1811" t="s">
        <v>1843</v>
      </c>
      <c r="B89" s="1811"/>
      <c r="C89" s="1811"/>
      <c r="D89" s="1811"/>
      <c r="E89" s="1811"/>
      <c r="F89" s="1811"/>
      <c r="G89" s="1811"/>
      <c r="H89" s="1811"/>
      <c r="I89" s="1811"/>
    </row>
    <row r="90" spans="1:9" ht="12.75">
      <c r="A90" s="1802" t="s">
        <v>2003</v>
      </c>
      <c r="B90" s="1802"/>
      <c r="C90" s="1802"/>
      <c r="D90" s="1802"/>
      <c r="E90" s="1802"/>
    </row>
    <row r="91" spans="1:9" ht="12.75">
      <c r="A91" s="1802" t="s">
        <v>2004</v>
      </c>
      <c r="B91" s="1802"/>
      <c r="C91" s="1802"/>
      <c r="D91" s="1802"/>
      <c r="E91" s="1802"/>
    </row>
    <row r="92" spans="1:9" ht="12.75">
      <c r="A92" s="1802" t="s">
        <v>1844</v>
      </c>
      <c r="B92" s="1802"/>
      <c r="C92" s="1802"/>
      <c r="D92" s="1802"/>
      <c r="E92" s="1802"/>
    </row>
    <row r="93" spans="1:9" ht="12.75"/>
    <row r="94" spans="1:9" ht="12.75" hidden="1"/>
    <row r="95" spans="1:9" ht="12.75" hidden="1"/>
  </sheetData>
  <sheetProtection algorithmName="SHA-512" hashValue="rZR2Mx2zChJ31klIYsyFAU/i0RHHzaOuuWhPgFf5DrJp1BGlLWXaESBZFK7fQKYeRHAPy2TJ12TXmn1LXY7qNw==" saltValue="dc/54uFzaD1Y16Z007rWWg==" spinCount="100000" sheet="1" objects="1" scenarios="1"/>
  <mergeCells count="10">
    <mergeCell ref="A92:E92"/>
    <mergeCell ref="A90:E90"/>
    <mergeCell ref="A91:E91"/>
    <mergeCell ref="A1:J1"/>
    <mergeCell ref="A76:J78"/>
    <mergeCell ref="A89:I89"/>
    <mergeCell ref="A2:J2"/>
    <mergeCell ref="A4:J6"/>
    <mergeCell ref="A10:J15"/>
    <mergeCell ref="A19:E19"/>
  </mergeCells>
  <hyperlinks>
    <hyperlink ref="A90" r:id="rId1" display="http://www.treasurer.ca.gov/ctcac/assignments.asp" xr:uid="{00000000-0004-0000-0200-000000000000}"/>
    <hyperlink ref="A91" r:id="rId2" display="http://www.treasurer.ca.gov/ctcac/contacts.asp" xr:uid="{00000000-0004-0000-0200-000001000000}"/>
    <hyperlink ref="A92"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9525</xdr:colOff>
                <xdr:row>77</xdr:row>
                <xdr:rowOff>95250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1553"/>
  <sheetViews>
    <sheetView showGridLines="0" workbookViewId="0">
      <selection activeCell="B15" sqref="B15"/>
    </sheetView>
  </sheetViews>
  <sheetFormatPr defaultColWidth="0" defaultRowHeight="12.75" zeroHeight="1"/>
  <cols>
    <col min="1" max="1" width="3.5703125" style="480" customWidth="1"/>
    <col min="2" max="2" width="13.5703125" style="480" customWidth="1"/>
    <col min="3" max="3" width="2.5703125" style="480" customWidth="1"/>
    <col min="4" max="5" width="3.5703125" style="402" customWidth="1"/>
    <col min="6" max="6" width="65.5703125" style="402" customWidth="1"/>
    <col min="7" max="7" width="1.5703125" style="402" customWidth="1"/>
    <col min="8" max="8" width="3.5703125" style="402" customWidth="1"/>
    <col min="9" max="9" width="9.140625" style="404" customWidth="1"/>
    <col min="10" max="13" width="8.85546875" style="402" hidden="1" customWidth="1"/>
    <col min="14" max="16384" width="0" style="402" hidden="1"/>
  </cols>
  <sheetData>
    <row r="1" spans="1:13"/>
    <row r="2" spans="1:13">
      <c r="A2" s="1816" t="s">
        <v>2600</v>
      </c>
      <c r="B2" s="1816"/>
      <c r="C2" s="1816"/>
      <c r="D2" s="1816"/>
      <c r="E2" s="1816"/>
      <c r="F2" s="1816"/>
      <c r="G2" s="1816"/>
      <c r="H2" s="1816"/>
      <c r="I2" s="1816"/>
    </row>
    <row r="3" spans="1:13">
      <c r="A3" s="1817" t="s">
        <v>2172</v>
      </c>
      <c r="B3" s="1817"/>
      <c r="C3" s="1817"/>
      <c r="D3" s="1817"/>
      <c r="E3" s="1817"/>
      <c r="F3" s="1817"/>
      <c r="G3" s="1817"/>
      <c r="H3" s="1817"/>
      <c r="I3" s="1817"/>
    </row>
    <row r="4" spans="1:13">
      <c r="A4" s="1817"/>
      <c r="B4" s="1817"/>
      <c r="C4" s="1813"/>
      <c r="D4" s="1813"/>
      <c r="E4" s="1813"/>
      <c r="F4" s="1813"/>
      <c r="G4" s="1813"/>
    </row>
    <row r="5" spans="1:13">
      <c r="A5" s="1817"/>
      <c r="B5" s="1817"/>
      <c r="C5" s="1813"/>
      <c r="D5" s="1813"/>
      <c r="E5" s="1813"/>
      <c r="F5" s="1813"/>
      <c r="G5" s="1813"/>
    </row>
    <row r="6" spans="1:13" ht="12.75" customHeight="1">
      <c r="A6" s="1839" t="s">
        <v>2171</v>
      </c>
      <c r="B6" s="1839"/>
      <c r="C6" s="1839"/>
      <c r="D6" s="1839"/>
      <c r="E6" s="1839"/>
      <c r="F6" s="1839"/>
      <c r="G6" s="1839"/>
      <c r="I6" s="490"/>
    </row>
    <row r="7" spans="1:13">
      <c r="A7" s="1839"/>
      <c r="B7" s="1839"/>
      <c r="C7" s="1839"/>
      <c r="D7" s="1839"/>
      <c r="E7" s="1839"/>
      <c r="F7" s="1839"/>
      <c r="G7" s="1839"/>
      <c r="I7" s="490"/>
    </row>
    <row r="8" spans="1:13">
      <c r="A8" s="481"/>
      <c r="B8" s="481"/>
      <c r="C8" s="482"/>
      <c r="D8" s="482"/>
      <c r="E8" s="482"/>
      <c r="F8" s="482"/>
    </row>
    <row r="9" spans="1:13">
      <c r="A9" s="1821" t="s">
        <v>1101</v>
      </c>
      <c r="B9" s="1821"/>
      <c r="C9" s="1821"/>
      <c r="D9" s="1821"/>
      <c r="E9" s="1821"/>
      <c r="F9" s="1821"/>
      <c r="G9" s="1821"/>
      <c r="H9" s="1023"/>
      <c r="I9" s="1024"/>
    </row>
    <row r="10" spans="1:13">
      <c r="A10" s="482"/>
      <c r="B10" s="482"/>
      <c r="E10" s="404"/>
    </row>
    <row r="11" spans="1:13" ht="13.7" customHeight="1">
      <c r="C11" s="482"/>
      <c r="D11" s="1838" t="s">
        <v>1100</v>
      </c>
      <c r="E11" s="1838"/>
      <c r="F11" s="1838"/>
    </row>
    <row r="12" spans="1:13">
      <c r="C12" s="482"/>
      <c r="D12" s="1838"/>
      <c r="E12" s="1838"/>
      <c r="F12" s="1838"/>
    </row>
    <row r="13" spans="1:13">
      <c r="A13" s="483"/>
      <c r="B13" s="483"/>
      <c r="C13" s="483"/>
      <c r="D13" s="1819" t="s">
        <v>1090</v>
      </c>
      <c r="E13" s="1819"/>
      <c r="F13" s="1819"/>
      <c r="M13" s="96"/>
    </row>
    <row r="14" spans="1:13">
      <c r="A14" s="483"/>
      <c r="B14" s="483"/>
      <c r="C14" s="483"/>
      <c r="D14" s="476"/>
      <c r="L14" s="312"/>
    </row>
    <row r="15" spans="1:13" ht="14.25">
      <c r="A15" s="484"/>
      <c r="B15" s="485" t="s">
        <v>307</v>
      </c>
      <c r="C15" s="483"/>
      <c r="D15" s="1818" t="s">
        <v>1894</v>
      </c>
      <c r="E15" s="1818"/>
      <c r="F15" s="1818"/>
      <c r="I15" s="490"/>
    </row>
    <row r="16" spans="1:13">
      <c r="A16" s="483"/>
      <c r="B16" s="483"/>
      <c r="C16" s="483"/>
      <c r="D16" s="1818"/>
      <c r="E16" s="1818"/>
      <c r="F16" s="1818"/>
      <c r="I16" s="490"/>
    </row>
    <row r="17" spans="1:9">
      <c r="A17" s="483"/>
      <c r="B17" s="483"/>
      <c r="C17" s="483"/>
      <c r="D17" s="1818"/>
      <c r="E17" s="1818"/>
      <c r="F17" s="1818"/>
      <c r="I17" s="490"/>
    </row>
    <row r="18" spans="1:9">
      <c r="A18" s="483"/>
      <c r="B18" s="483"/>
      <c r="C18" s="483"/>
      <c r="D18" s="445"/>
      <c r="E18" s="312" t="s">
        <v>1892</v>
      </c>
      <c r="F18" s="445"/>
      <c r="I18" s="490"/>
    </row>
    <row r="19" spans="1:9">
      <c r="A19" s="483"/>
      <c r="B19" s="483"/>
      <c r="C19" s="483"/>
      <c r="I19" s="490"/>
    </row>
    <row r="20" spans="1:9" ht="14.25">
      <c r="A20" s="484"/>
      <c r="B20" s="485" t="s">
        <v>307</v>
      </c>
      <c r="D20" s="1818" t="s">
        <v>1895</v>
      </c>
      <c r="E20" s="1818"/>
      <c r="F20" s="1818"/>
      <c r="I20" s="490"/>
    </row>
    <row r="21" spans="1:9" ht="14.25">
      <c r="A21" s="484"/>
      <c r="D21" s="1818"/>
      <c r="E21" s="1818"/>
      <c r="F21" s="1818"/>
      <c r="I21" s="490"/>
    </row>
    <row r="22" spans="1:9" ht="14.25">
      <c r="A22" s="484"/>
      <c r="D22" s="392"/>
      <c r="E22" s="96" t="s">
        <v>1891</v>
      </c>
      <c r="F22" s="392"/>
      <c r="I22" s="490"/>
    </row>
    <row r="23" spans="1:9" ht="14.25">
      <c r="A23" s="484"/>
      <c r="B23" s="484"/>
      <c r="D23" s="446"/>
      <c r="I23" s="490"/>
    </row>
    <row r="24" spans="1:9" ht="14.25">
      <c r="A24" s="484"/>
      <c r="B24" s="485" t="s">
        <v>307</v>
      </c>
      <c r="D24" s="1818" t="s">
        <v>1091</v>
      </c>
      <c r="E24" s="1818"/>
      <c r="F24" s="1818"/>
      <c r="I24" s="490"/>
    </row>
    <row r="25" spans="1:9" ht="14.25">
      <c r="A25" s="484"/>
      <c r="B25" s="484"/>
      <c r="D25" s="1818"/>
      <c r="E25" s="1818"/>
      <c r="F25" s="1818"/>
      <c r="I25" s="490"/>
    </row>
    <row r="26" spans="1:9">
      <c r="I26" s="490"/>
    </row>
    <row r="27" spans="1:9" ht="14.25">
      <c r="A27" s="484"/>
      <c r="B27" s="485" t="s">
        <v>307</v>
      </c>
      <c r="D27" s="1818" t="s">
        <v>2006</v>
      </c>
      <c r="E27" s="1818"/>
      <c r="F27" s="1818"/>
      <c r="I27" s="490"/>
    </row>
    <row r="28" spans="1:9">
      <c r="D28" s="1818"/>
      <c r="E28" s="1818"/>
      <c r="F28" s="1818"/>
      <c r="I28" s="490"/>
    </row>
    <row r="29" spans="1:9">
      <c r="D29" s="1818"/>
      <c r="E29" s="1818"/>
      <c r="F29" s="1818"/>
      <c r="I29" s="490"/>
    </row>
    <row r="30" spans="1:9">
      <c r="D30" s="1818"/>
      <c r="E30" s="1818"/>
      <c r="F30" s="1818"/>
      <c r="I30" s="490"/>
    </row>
    <row r="31" spans="1:9">
      <c r="D31" s="1818"/>
      <c r="E31" s="1818"/>
      <c r="F31" s="1818"/>
      <c r="I31" s="490"/>
    </row>
    <row r="32" spans="1:9">
      <c r="D32" s="447"/>
      <c r="I32" s="490"/>
    </row>
    <row r="33" spans="1:9">
      <c r="B33" s="485" t="s">
        <v>307</v>
      </c>
      <c r="D33" s="1818" t="s">
        <v>2007</v>
      </c>
      <c r="E33" s="1818"/>
      <c r="F33" s="1818"/>
      <c r="I33" s="490"/>
    </row>
    <row r="34" spans="1:9">
      <c r="D34" s="1818"/>
      <c r="E34" s="1818"/>
      <c r="F34" s="1818"/>
      <c r="I34" s="490"/>
    </row>
    <row r="35" spans="1:9" ht="14.25">
      <c r="A35" s="484"/>
      <c r="B35" s="484"/>
      <c r="D35" s="447"/>
      <c r="I35" s="490"/>
    </row>
    <row r="36" spans="1:9" ht="14.45" customHeight="1">
      <c r="A36" s="484"/>
      <c r="B36" s="485" t="s">
        <v>307</v>
      </c>
      <c r="D36" s="1818" t="s">
        <v>1214</v>
      </c>
      <c r="E36" s="1818"/>
      <c r="F36" s="1818"/>
      <c r="I36" s="490"/>
    </row>
    <row r="37" spans="1:9" ht="14.25">
      <c r="A37" s="484"/>
      <c r="B37" s="484"/>
      <c r="D37" s="1818"/>
      <c r="E37" s="1818"/>
      <c r="F37" s="1818"/>
      <c r="I37" s="490"/>
    </row>
    <row r="38" spans="1:9" ht="14.25">
      <c r="A38" s="484"/>
      <c r="B38" s="484"/>
      <c r="D38" s="1818"/>
      <c r="E38" s="1818"/>
      <c r="F38" s="1818"/>
      <c r="I38" s="490"/>
    </row>
    <row r="39" spans="1:9" ht="14.25">
      <c r="A39" s="484"/>
      <c r="B39" s="484"/>
      <c r="D39" s="1818"/>
      <c r="E39" s="1818"/>
      <c r="F39" s="1818"/>
      <c r="I39" s="490"/>
    </row>
    <row r="40" spans="1:9" ht="14.25">
      <c r="A40" s="484"/>
      <c r="B40" s="484"/>
      <c r="I40" s="490"/>
    </row>
    <row r="41" spans="1:9" ht="14.25">
      <c r="A41" s="484"/>
      <c r="B41" s="485" t="s">
        <v>307</v>
      </c>
      <c r="D41" s="1818" t="s">
        <v>1092</v>
      </c>
      <c r="E41" s="1818"/>
      <c r="F41" s="1818"/>
      <c r="I41" s="490"/>
    </row>
    <row r="42" spans="1:9" ht="14.25">
      <c r="A42" s="484"/>
      <c r="B42" s="484"/>
      <c r="D42" s="1818"/>
      <c r="E42" s="1818"/>
      <c r="F42" s="1818"/>
      <c r="I42" s="490"/>
    </row>
    <row r="43" spans="1:9" ht="14.25">
      <c r="A43" s="484"/>
      <c r="B43" s="484"/>
      <c r="D43" s="1818"/>
      <c r="E43" s="1818"/>
      <c r="F43" s="1818"/>
      <c r="I43" s="490"/>
    </row>
    <row r="44" spans="1:9" ht="14.25">
      <c r="A44" s="484"/>
      <c r="B44" s="484"/>
      <c r="D44" s="1818"/>
      <c r="E44" s="1818"/>
      <c r="F44" s="1818"/>
      <c r="I44" s="490"/>
    </row>
    <row r="45" spans="1:9" ht="14.25">
      <c r="A45" s="484"/>
      <c r="B45" s="484"/>
      <c r="D45" s="1818"/>
      <c r="E45" s="1818"/>
      <c r="F45" s="1818"/>
      <c r="I45" s="490"/>
    </row>
    <row r="46" spans="1:9" ht="14.25">
      <c r="A46" s="484"/>
      <c r="B46" s="484"/>
      <c r="D46" s="445"/>
      <c r="E46" s="445"/>
      <c r="F46" s="445"/>
      <c r="I46" s="490"/>
    </row>
    <row r="47" spans="1:9" ht="14.25">
      <c r="A47" s="484"/>
      <c r="B47" s="485" t="s">
        <v>307</v>
      </c>
      <c r="D47" s="1818" t="s">
        <v>1093</v>
      </c>
      <c r="E47" s="1818"/>
      <c r="F47" s="1818"/>
      <c r="I47" s="490"/>
    </row>
    <row r="48" spans="1:9" ht="14.25">
      <c r="A48" s="484"/>
      <c r="B48" s="484"/>
      <c r="D48" s="1818"/>
      <c r="E48" s="1818"/>
      <c r="F48" s="1818"/>
      <c r="I48" s="490"/>
    </row>
    <row r="49" spans="1:9" ht="14.25">
      <c r="A49" s="484"/>
      <c r="B49" s="484"/>
      <c r="D49" s="1818"/>
      <c r="E49" s="1818"/>
      <c r="F49" s="1818"/>
      <c r="I49" s="490"/>
    </row>
    <row r="50" spans="1:9" ht="23.25" customHeight="1">
      <c r="A50" s="484"/>
      <c r="B50" s="484"/>
      <c r="D50" s="1818"/>
      <c r="E50" s="1818"/>
      <c r="F50" s="1818"/>
      <c r="I50" s="490"/>
    </row>
    <row r="51" spans="1:9" ht="14.25">
      <c r="A51" s="484"/>
      <c r="B51" s="484"/>
      <c r="D51" s="446"/>
      <c r="I51" s="490"/>
    </row>
    <row r="52" spans="1:9" ht="14.45" customHeight="1">
      <c r="A52" s="484"/>
      <c r="B52" s="485" t="s">
        <v>307</v>
      </c>
      <c r="D52" s="1818" t="s">
        <v>1094</v>
      </c>
      <c r="E52" s="1818"/>
      <c r="F52" s="1818"/>
      <c r="I52" s="490"/>
    </row>
    <row r="53" spans="1:9" ht="14.25">
      <c r="A53" s="484"/>
      <c r="B53" s="484"/>
      <c r="D53" s="1818"/>
      <c r="E53" s="1818"/>
      <c r="F53" s="1818"/>
      <c r="I53" s="490"/>
    </row>
    <row r="54" spans="1:9" ht="14.25">
      <c r="A54" s="484"/>
      <c r="B54" s="484"/>
      <c r="D54" s="1818"/>
      <c r="E54" s="1818"/>
      <c r="F54" s="1818"/>
      <c r="I54" s="490"/>
    </row>
    <row r="55" spans="1:9" ht="14.25">
      <c r="A55" s="484"/>
      <c r="B55" s="484"/>
      <c r="I55" s="490"/>
    </row>
    <row r="56" spans="1:9" ht="14.25">
      <c r="A56" s="484"/>
      <c r="B56" s="485" t="s">
        <v>307</v>
      </c>
      <c r="D56" s="1840" t="s">
        <v>1095</v>
      </c>
      <c r="E56" s="1840"/>
      <c r="F56" s="1840"/>
      <c r="I56" s="490"/>
    </row>
    <row r="57" spans="1:9" ht="14.25">
      <c r="A57" s="484"/>
      <c r="B57" s="484"/>
      <c r="D57" s="1840"/>
      <c r="E57" s="1840"/>
      <c r="F57" s="1840"/>
      <c r="I57" s="490"/>
    </row>
    <row r="58" spans="1:9" ht="14.25">
      <c r="A58" s="484"/>
      <c r="B58" s="484"/>
      <c r="D58" s="392" t="s">
        <v>1893</v>
      </c>
      <c r="E58" s="445"/>
      <c r="F58" s="445"/>
      <c r="I58" s="490"/>
    </row>
    <row r="59" spans="1:9" ht="14.25">
      <c r="A59" s="484"/>
      <c r="B59" s="484"/>
      <c r="D59" s="445"/>
      <c r="E59" s="312" t="s">
        <v>1892</v>
      </c>
      <c r="F59" s="445"/>
      <c r="I59" s="490"/>
    </row>
    <row r="60" spans="1:9">
      <c r="D60" s="447"/>
      <c r="I60" s="490"/>
    </row>
    <row r="61" spans="1:9" ht="14.25">
      <c r="A61" s="484"/>
      <c r="B61" s="485" t="s">
        <v>307</v>
      </c>
      <c r="D61" s="1818" t="s">
        <v>1096</v>
      </c>
      <c r="E61" s="1818"/>
      <c r="F61" s="1818"/>
      <c r="I61" s="490"/>
    </row>
    <row r="62" spans="1:9">
      <c r="D62" s="1818"/>
      <c r="E62" s="1818"/>
      <c r="F62" s="1818"/>
      <c r="I62" s="490"/>
    </row>
    <row r="63" spans="1:9">
      <c r="D63" s="1818"/>
      <c r="E63" s="1818"/>
      <c r="F63" s="1818"/>
      <c r="I63" s="490"/>
    </row>
    <row r="64" spans="1:9">
      <c r="I64" s="490"/>
    </row>
    <row r="65" spans="1:9" ht="14.25">
      <c r="A65" s="484"/>
      <c r="B65" s="485" t="s">
        <v>307</v>
      </c>
      <c r="D65" s="1818" t="s">
        <v>1097</v>
      </c>
      <c r="E65" s="1818"/>
      <c r="F65" s="1818"/>
      <c r="I65" s="490"/>
    </row>
    <row r="66" spans="1:9">
      <c r="D66" s="1818"/>
      <c r="E66" s="1818"/>
      <c r="F66" s="1818"/>
      <c r="I66" s="490"/>
    </row>
    <row r="67" spans="1:9">
      <c r="I67" s="490"/>
    </row>
    <row r="68" spans="1:9" ht="14.25">
      <c r="A68" s="484"/>
      <c r="B68" s="485" t="s">
        <v>307</v>
      </c>
      <c r="D68" s="1818" t="s">
        <v>1098</v>
      </c>
      <c r="E68" s="1818"/>
      <c r="F68" s="1818"/>
      <c r="I68" s="490"/>
    </row>
    <row r="69" spans="1:9">
      <c r="D69" s="1818"/>
      <c r="E69" s="1818"/>
      <c r="F69" s="1818"/>
      <c r="I69" s="490"/>
    </row>
    <row r="70" spans="1:9">
      <c r="D70" s="1818"/>
      <c r="E70" s="1818"/>
      <c r="F70" s="1818"/>
      <c r="I70" s="490"/>
    </row>
    <row r="71" spans="1:9">
      <c r="I71" s="490"/>
    </row>
    <row r="72" spans="1:9" ht="14.25">
      <c r="A72" s="484"/>
      <c r="B72" s="485" t="s">
        <v>307</v>
      </c>
      <c r="D72" s="1818" t="s">
        <v>1099</v>
      </c>
      <c r="E72" s="1818"/>
      <c r="F72" s="1818"/>
      <c r="I72" s="490"/>
    </row>
    <row r="73" spans="1:9">
      <c r="D73" s="1818"/>
      <c r="E73" s="1818"/>
      <c r="F73" s="1818"/>
      <c r="I73" s="490"/>
    </row>
    <row r="74" spans="1:9" ht="14.25">
      <c r="A74" s="484"/>
      <c r="B74" s="484"/>
      <c r="D74" s="446"/>
      <c r="I74" s="490"/>
    </row>
    <row r="75" spans="1:9">
      <c r="A75" s="1821" t="s">
        <v>1044</v>
      </c>
      <c r="B75" s="1821"/>
      <c r="C75" s="1821"/>
      <c r="D75" s="1821"/>
      <c r="E75" s="1821"/>
      <c r="F75" s="1821"/>
      <c r="G75" s="1821"/>
      <c r="H75" s="1023"/>
      <c r="I75" s="1147"/>
    </row>
    <row r="76" spans="1:9">
      <c r="I76" s="490"/>
    </row>
    <row r="77" spans="1:9">
      <c r="C77" s="486"/>
      <c r="D77" s="1820" t="s">
        <v>1102</v>
      </c>
      <c r="E77" s="1820"/>
      <c r="F77" s="1820"/>
      <c r="I77" s="490"/>
    </row>
    <row r="78" spans="1:9">
      <c r="A78" s="446"/>
      <c r="B78" s="446"/>
      <c r="D78" s="1818" t="s">
        <v>1117</v>
      </c>
      <c r="E78" s="1818"/>
      <c r="F78" s="1818"/>
      <c r="I78" s="490"/>
    </row>
    <row r="79" spans="1:9">
      <c r="A79" s="446"/>
      <c r="B79" s="446"/>
      <c r="I79" s="490"/>
    </row>
    <row r="80" spans="1:9" ht="13.7" customHeight="1">
      <c r="A80" s="484"/>
      <c r="B80" s="485" t="s">
        <v>307</v>
      </c>
      <c r="D80" s="1818" t="s">
        <v>1245</v>
      </c>
      <c r="E80" s="1818"/>
      <c r="F80" s="1818"/>
      <c r="I80" s="490"/>
    </row>
    <row r="81" spans="1:9" ht="14.25">
      <c r="A81" s="484"/>
      <c r="B81" s="484"/>
      <c r="D81" s="1818"/>
      <c r="E81" s="1818"/>
      <c r="F81" s="1818"/>
      <c r="I81" s="490"/>
    </row>
    <row r="82" spans="1:9" ht="14.25">
      <c r="A82" s="484"/>
      <c r="B82" s="484"/>
      <c r="D82" s="1818"/>
      <c r="E82" s="1818"/>
      <c r="F82" s="1818"/>
      <c r="I82" s="490"/>
    </row>
    <row r="83" spans="1:9" ht="14.25">
      <c r="A83" s="484"/>
      <c r="B83" s="484"/>
      <c r="D83" s="1818"/>
      <c r="E83" s="1818"/>
      <c r="F83" s="1818"/>
      <c r="I83" s="490"/>
    </row>
    <row r="84" spans="1:9" ht="14.25">
      <c r="A84" s="484"/>
      <c r="B84" s="484"/>
      <c r="D84" s="1818"/>
      <c r="E84" s="1818"/>
      <c r="F84" s="1818"/>
      <c r="I84" s="490"/>
    </row>
    <row r="85" spans="1:9" ht="14.25">
      <c r="A85" s="484"/>
      <c r="B85" s="484"/>
      <c r="D85" s="1818"/>
      <c r="E85" s="1818"/>
      <c r="F85" s="1818"/>
      <c r="I85" s="490"/>
    </row>
    <row r="86" spans="1:9" ht="14.25">
      <c r="A86" s="484"/>
      <c r="B86" s="484"/>
      <c r="D86" s="1818"/>
      <c r="E86" s="1818"/>
      <c r="F86" s="1818"/>
      <c r="I86" s="490"/>
    </row>
    <row r="87" spans="1:9" ht="14.25">
      <c r="A87" s="484"/>
      <c r="B87" s="484"/>
      <c r="D87" s="1818"/>
      <c r="E87" s="1818"/>
      <c r="F87" s="1818"/>
      <c r="I87" s="490"/>
    </row>
    <row r="88" spans="1:9" ht="14.25">
      <c r="A88" s="484"/>
      <c r="B88" s="484"/>
      <c r="D88" s="385"/>
      <c r="E88" s="385"/>
      <c r="F88" s="385"/>
      <c r="I88" s="490"/>
    </row>
    <row r="89" spans="1:9" ht="15" customHeight="1">
      <c r="A89" s="484"/>
      <c r="B89" s="485" t="s">
        <v>307</v>
      </c>
      <c r="D89" s="1818" t="s">
        <v>1730</v>
      </c>
      <c r="E89" s="1818"/>
      <c r="F89" s="1818"/>
      <c r="I89" s="490"/>
    </row>
    <row r="90" spans="1:9" ht="14.25">
      <c r="A90" s="484"/>
      <c r="B90" s="484"/>
      <c r="D90" s="1818"/>
      <c r="E90" s="1818"/>
      <c r="F90" s="1818"/>
      <c r="I90" s="490"/>
    </row>
    <row r="91" spans="1:9" ht="14.25">
      <c r="A91" s="484"/>
      <c r="B91" s="484"/>
      <c r="D91" s="445"/>
      <c r="E91" s="445"/>
      <c r="F91" s="445"/>
      <c r="I91" s="490"/>
    </row>
    <row r="92" spans="1:9" ht="14.25">
      <c r="A92" s="484"/>
      <c r="B92" s="485" t="s">
        <v>307</v>
      </c>
      <c r="D92" s="1818" t="s">
        <v>1733</v>
      </c>
      <c r="E92" s="1818"/>
      <c r="F92" s="1818"/>
      <c r="I92" s="490"/>
    </row>
    <row r="93" spans="1:9" ht="14.25">
      <c r="A93" s="484"/>
      <c r="B93" s="484"/>
      <c r="D93" s="1818"/>
      <c r="E93" s="1818"/>
      <c r="F93" s="1818"/>
      <c r="I93" s="490"/>
    </row>
    <row r="94" spans="1:9" ht="14.25">
      <c r="A94" s="484"/>
      <c r="B94" s="484"/>
      <c r="D94" s="1818"/>
      <c r="E94" s="1818"/>
      <c r="F94" s="1818"/>
      <c r="I94" s="490"/>
    </row>
    <row r="95" spans="1:9" ht="14.25">
      <c r="A95" s="484"/>
      <c r="B95" s="484"/>
      <c r="D95" s="445"/>
      <c r="E95" s="445"/>
      <c r="F95" s="445"/>
      <c r="I95" s="490"/>
    </row>
    <row r="96" spans="1:9" ht="14.25">
      <c r="A96" s="484"/>
      <c r="B96" s="485" t="s">
        <v>307</v>
      </c>
      <c r="D96" s="1818" t="s">
        <v>1732</v>
      </c>
      <c r="E96" s="1818"/>
      <c r="F96" s="1818"/>
      <c r="I96" s="490"/>
    </row>
    <row r="97" spans="1:9" s="982" customFormat="1" ht="14.25">
      <c r="A97" s="980"/>
      <c r="B97" s="980"/>
      <c r="C97" s="981"/>
      <c r="D97" s="1818"/>
      <c r="E97" s="1818"/>
      <c r="F97" s="1818"/>
      <c r="I97" s="1148"/>
    </row>
    <row r="98" spans="1:9" ht="14.25">
      <c r="A98" s="484"/>
      <c r="B98" s="484"/>
      <c r="D98" s="392"/>
      <c r="E98" s="312" t="s">
        <v>1896</v>
      </c>
      <c r="F98" s="445"/>
      <c r="I98" s="490"/>
    </row>
    <row r="99" spans="1:9" ht="14.25">
      <c r="A99" s="484"/>
      <c r="B99" s="484"/>
      <c r="D99" s="385"/>
      <c r="E99" s="385"/>
      <c r="F99" s="385"/>
      <c r="I99" s="490"/>
    </row>
    <row r="100" spans="1:9" ht="14.25">
      <c r="A100" s="484"/>
      <c r="B100" s="485" t="s">
        <v>307</v>
      </c>
      <c r="D100" s="1818" t="s">
        <v>1731</v>
      </c>
      <c r="E100" s="1818"/>
      <c r="F100" s="1818"/>
      <c r="I100" s="490"/>
    </row>
    <row r="101" spans="1:9" ht="14.25">
      <c r="A101" s="484"/>
      <c r="B101" s="484"/>
      <c r="D101" s="1818"/>
      <c r="E101" s="1818"/>
      <c r="F101" s="1818"/>
      <c r="I101" s="490"/>
    </row>
    <row r="102" spans="1:9" ht="14.25">
      <c r="A102" s="484"/>
      <c r="B102" s="484"/>
      <c r="D102" s="445"/>
      <c r="E102" s="445"/>
      <c r="F102" s="445"/>
      <c r="I102" s="490"/>
    </row>
    <row r="103" spans="1:9" ht="14.45" customHeight="1">
      <c r="A103" s="484"/>
      <c r="B103" s="485" t="s">
        <v>307</v>
      </c>
      <c r="D103" s="1818" t="s">
        <v>1194</v>
      </c>
      <c r="E103" s="1818"/>
      <c r="F103" s="1818"/>
      <c r="I103" s="490"/>
    </row>
    <row r="104" spans="1:9" ht="14.25">
      <c r="A104" s="484"/>
      <c r="B104" s="484"/>
      <c r="D104" s="1818"/>
      <c r="E104" s="1818"/>
      <c r="F104" s="1818"/>
      <c r="I104" s="490"/>
    </row>
    <row r="105" spans="1:9" ht="14.25">
      <c r="A105" s="484"/>
      <c r="B105" s="484"/>
      <c r="D105" s="1818"/>
      <c r="E105" s="1818"/>
      <c r="F105" s="1818"/>
      <c r="I105" s="490"/>
    </row>
    <row r="106" spans="1:9" ht="14.25">
      <c r="A106" s="484"/>
      <c r="B106" s="484"/>
      <c r="D106" s="1818"/>
      <c r="E106" s="1818"/>
      <c r="F106" s="1818"/>
      <c r="I106" s="490"/>
    </row>
    <row r="107" spans="1:9" ht="14.25">
      <c r="A107" s="484"/>
      <c r="B107" s="484"/>
      <c r="D107" s="1818"/>
      <c r="E107" s="1818"/>
      <c r="F107" s="1818"/>
      <c r="I107" s="490"/>
    </row>
    <row r="108" spans="1:9" ht="14.25">
      <c r="A108" s="484"/>
      <c r="B108" s="484"/>
      <c r="D108" s="1818"/>
      <c r="E108" s="1818"/>
      <c r="F108" s="1818"/>
      <c r="I108" s="490"/>
    </row>
    <row r="109" spans="1:9" ht="14.25">
      <c r="A109" s="484"/>
      <c r="B109" s="484"/>
      <c r="D109" s="1818"/>
      <c r="E109" s="1818"/>
      <c r="F109" s="1818"/>
      <c r="I109" s="490"/>
    </row>
    <row r="110" spans="1:9" ht="14.25">
      <c r="A110" s="484"/>
      <c r="B110" s="484"/>
      <c r="D110" s="1818"/>
      <c r="E110" s="1818"/>
      <c r="F110" s="1818"/>
      <c r="I110" s="490"/>
    </row>
    <row r="111" spans="1:9" ht="14.25">
      <c r="A111" s="484"/>
      <c r="B111" s="484"/>
      <c r="D111" s="1818"/>
      <c r="E111" s="1818"/>
      <c r="F111" s="1818"/>
      <c r="I111" s="490"/>
    </row>
    <row r="112" spans="1:9" ht="14.25">
      <c r="A112" s="484"/>
      <c r="B112" s="484"/>
      <c r="D112" s="1818"/>
      <c r="E112" s="1818"/>
      <c r="F112" s="1818"/>
      <c r="I112" s="490"/>
    </row>
    <row r="113" spans="1:9" ht="14.25">
      <c r="A113" s="484"/>
      <c r="B113" s="484"/>
      <c r="D113" s="1818"/>
      <c r="E113" s="1818"/>
      <c r="F113" s="1818"/>
      <c r="I113" s="490"/>
    </row>
    <row r="114" spans="1:9" ht="14.25">
      <c r="A114" s="484"/>
      <c r="B114" s="484"/>
      <c r="D114" s="1818"/>
      <c r="E114" s="1818"/>
      <c r="F114" s="1818"/>
      <c r="I114" s="490"/>
    </row>
    <row r="115" spans="1:9" ht="14.25">
      <c r="A115" s="484"/>
      <c r="B115" s="484"/>
      <c r="D115" s="1818"/>
      <c r="E115" s="1818"/>
      <c r="F115" s="1818"/>
      <c r="I115" s="490"/>
    </row>
    <row r="116" spans="1:9" ht="14.25">
      <c r="A116" s="484"/>
      <c r="B116" s="484"/>
      <c r="D116" s="1818"/>
      <c r="E116" s="1818"/>
      <c r="F116" s="1818"/>
      <c r="I116" s="490"/>
    </row>
    <row r="117" spans="1:9" ht="14.25">
      <c r="A117" s="484"/>
      <c r="B117" s="484"/>
      <c r="D117" s="1818"/>
      <c r="E117" s="1818"/>
      <c r="F117" s="1818"/>
      <c r="I117" s="490"/>
    </row>
    <row r="118" spans="1:9" ht="14.25">
      <c r="A118" s="484"/>
      <c r="B118" s="484"/>
      <c r="D118" s="524"/>
      <c r="E118" s="524"/>
      <c r="F118" s="524"/>
      <c r="I118" s="490"/>
    </row>
    <row r="119" spans="1:9" ht="14.25" customHeight="1">
      <c r="A119" s="484"/>
      <c r="B119" s="485" t="s">
        <v>307</v>
      </c>
      <c r="D119" s="1836" t="s">
        <v>1103</v>
      </c>
      <c r="E119" s="1836"/>
      <c r="F119" s="1836"/>
      <c r="I119" s="490"/>
    </row>
    <row r="120" spans="1:9" ht="14.25">
      <c r="A120" s="484"/>
      <c r="B120" s="484"/>
      <c r="D120" s="1836"/>
      <c r="E120" s="1836"/>
      <c r="F120" s="1836"/>
      <c r="I120" s="490"/>
    </row>
    <row r="121" spans="1:9" ht="14.25">
      <c r="A121" s="484"/>
      <c r="B121" s="484"/>
      <c r="D121" s="1836"/>
      <c r="E121" s="1836"/>
      <c r="F121" s="1836"/>
      <c r="I121" s="490"/>
    </row>
    <row r="122" spans="1:9" ht="14.25">
      <c r="A122" s="484"/>
      <c r="B122" s="484"/>
      <c r="D122" s="1836"/>
      <c r="E122" s="1836"/>
      <c r="F122" s="1836"/>
      <c r="I122" s="490"/>
    </row>
    <row r="123" spans="1:9" ht="14.25">
      <c r="A123" s="484"/>
      <c r="B123" s="484"/>
      <c r="D123" s="1836"/>
      <c r="E123" s="1836"/>
      <c r="F123" s="1836"/>
      <c r="I123" s="490"/>
    </row>
    <row r="124" spans="1:9" ht="14.25">
      <c r="A124" s="484"/>
      <c r="B124" s="484"/>
      <c r="D124" s="1836"/>
      <c r="E124" s="1836"/>
      <c r="F124" s="1836"/>
      <c r="I124" s="490"/>
    </row>
    <row r="125" spans="1:9" ht="14.25">
      <c r="A125" s="484"/>
      <c r="B125" s="484"/>
      <c r="D125" s="1836"/>
      <c r="E125" s="1836"/>
      <c r="F125" s="1836"/>
      <c r="I125" s="490"/>
    </row>
    <row r="126" spans="1:9" ht="14.25">
      <c r="A126" s="484"/>
      <c r="B126" s="484"/>
      <c r="D126" s="1836"/>
      <c r="E126" s="1836"/>
      <c r="F126" s="1836"/>
      <c r="I126" s="490"/>
    </row>
    <row r="127" spans="1:9">
      <c r="C127" s="402"/>
      <c r="D127" s="525"/>
      <c r="E127" s="525"/>
      <c r="F127" s="525"/>
      <c r="I127" s="490"/>
    </row>
    <row r="128" spans="1:9" ht="14.25">
      <c r="A128" s="484"/>
      <c r="B128" s="485" t="s">
        <v>307</v>
      </c>
      <c r="C128" s="402"/>
      <c r="D128" s="1836" t="s">
        <v>2008</v>
      </c>
      <c r="E128" s="1836"/>
      <c r="F128" s="1836"/>
      <c r="I128" s="490"/>
    </row>
    <row r="129" spans="1:9" ht="14.25">
      <c r="A129" s="484"/>
      <c r="B129" s="484"/>
      <c r="C129" s="402"/>
      <c r="D129" s="1836"/>
      <c r="E129" s="1836"/>
      <c r="F129" s="1836"/>
      <c r="I129" s="490"/>
    </row>
    <row r="130" spans="1:9">
      <c r="I130" s="490"/>
    </row>
    <row r="131" spans="1:9" ht="14.25">
      <c r="A131" s="484"/>
      <c r="B131" s="485" t="s">
        <v>307</v>
      </c>
      <c r="D131" s="1818" t="s">
        <v>1104</v>
      </c>
      <c r="E131" s="1818"/>
      <c r="F131" s="1818"/>
      <c r="I131" s="490"/>
    </row>
    <row r="132" spans="1:9">
      <c r="D132" s="1818"/>
      <c r="E132" s="1818"/>
      <c r="F132" s="1818"/>
      <c r="I132" s="490"/>
    </row>
    <row r="133" spans="1:9">
      <c r="D133" s="1818"/>
      <c r="E133" s="1818"/>
      <c r="F133" s="1818"/>
      <c r="I133" s="490"/>
    </row>
    <row r="134" spans="1:9">
      <c r="D134" s="1818"/>
      <c r="E134" s="1818"/>
      <c r="F134" s="1818"/>
      <c r="I134" s="490"/>
    </row>
    <row r="135" spans="1:9">
      <c r="D135" s="1818"/>
      <c r="E135" s="1818"/>
      <c r="F135" s="1818"/>
      <c r="I135" s="490"/>
    </row>
    <row r="136" spans="1:9">
      <c r="I136" s="490"/>
    </row>
    <row r="137" spans="1:9" ht="14.25">
      <c r="A137" s="484"/>
      <c r="B137" s="485" t="s">
        <v>307</v>
      </c>
      <c r="D137" s="1818" t="s">
        <v>1105</v>
      </c>
      <c r="E137" s="1818"/>
      <c r="F137" s="1818"/>
      <c r="I137" s="490"/>
    </row>
    <row r="138" spans="1:9" s="417" customFormat="1" ht="13.7" customHeight="1">
      <c r="A138" s="488"/>
      <c r="B138" s="488"/>
      <c r="C138" s="488"/>
      <c r="D138" s="1818"/>
      <c r="E138" s="1818"/>
      <c r="F138" s="1818"/>
      <c r="I138" s="1149"/>
    </row>
    <row r="139" spans="1:9" ht="13.7" customHeight="1">
      <c r="D139" s="1818"/>
      <c r="E139" s="1818"/>
      <c r="F139" s="1818"/>
      <c r="I139" s="490"/>
    </row>
    <row r="140" spans="1:9" ht="13.7" customHeight="1">
      <c r="D140" s="1818"/>
      <c r="E140" s="1818"/>
      <c r="F140" s="1818"/>
      <c r="I140" s="490"/>
    </row>
    <row r="141" spans="1:9" ht="13.7" customHeight="1">
      <c r="D141" s="1818"/>
      <c r="E141" s="1818"/>
      <c r="F141" s="1818"/>
      <c r="I141" s="490"/>
    </row>
    <row r="142" spans="1:9" ht="13.7" customHeight="1">
      <c r="A142" s="489"/>
      <c r="B142" s="489"/>
      <c r="D142" s="1818"/>
      <c r="E142" s="1818"/>
      <c r="F142" s="1818"/>
      <c r="I142" s="490"/>
    </row>
    <row r="143" spans="1:9" ht="13.7" customHeight="1">
      <c r="D143" s="1818"/>
      <c r="E143" s="1818"/>
      <c r="F143" s="1818"/>
      <c r="I143" s="490"/>
    </row>
    <row r="144" spans="1:9" ht="13.7" customHeight="1">
      <c r="D144" s="1818"/>
      <c r="E144" s="1818"/>
      <c r="F144" s="1818"/>
      <c r="I144" s="490"/>
    </row>
    <row r="145" spans="2:9" ht="13.7" customHeight="1">
      <c r="D145" s="1818"/>
      <c r="E145" s="1818"/>
      <c r="F145" s="1818"/>
      <c r="I145" s="490"/>
    </row>
    <row r="146" spans="2:9" ht="13.7" customHeight="1">
      <c r="D146" s="1818"/>
      <c r="E146" s="1818"/>
      <c r="F146" s="1818"/>
      <c r="I146" s="490"/>
    </row>
    <row r="147" spans="2:9" ht="13.7" customHeight="1">
      <c r="D147" s="1818"/>
      <c r="E147" s="1818"/>
      <c r="F147" s="1818"/>
      <c r="I147" s="490"/>
    </row>
    <row r="148" spans="2:9" ht="13.7" customHeight="1">
      <c r="D148" s="1818"/>
      <c r="E148" s="1818"/>
      <c r="F148" s="1818"/>
      <c r="I148" s="490"/>
    </row>
    <row r="149" spans="2:9" ht="13.7" customHeight="1">
      <c r="D149" s="1818"/>
      <c r="E149" s="1818"/>
      <c r="F149" s="1818"/>
      <c r="I149" s="490"/>
    </row>
    <row r="150" spans="2:9" ht="13.7" customHeight="1">
      <c r="D150" s="476"/>
      <c r="E150" s="446"/>
      <c r="F150" s="446"/>
      <c r="I150" s="490"/>
    </row>
    <row r="151" spans="2:9" ht="13.7" customHeight="1">
      <c r="B151" s="485" t="s">
        <v>307</v>
      </c>
      <c r="D151" s="1818" t="s">
        <v>1177</v>
      </c>
      <c r="E151" s="1818"/>
      <c r="F151" s="1818"/>
      <c r="I151" s="490"/>
    </row>
    <row r="152" spans="2:9" ht="13.7" customHeight="1">
      <c r="D152" s="1818"/>
      <c r="E152" s="1818"/>
      <c r="F152" s="1818"/>
      <c r="I152" s="490"/>
    </row>
    <row r="153" spans="2:9" ht="13.7" customHeight="1">
      <c r="D153" s="1818"/>
      <c r="E153" s="1818"/>
      <c r="F153" s="1818"/>
      <c r="I153" s="490"/>
    </row>
    <row r="154" spans="2:9" ht="13.7" customHeight="1">
      <c r="D154" s="1818"/>
      <c r="E154" s="1818"/>
      <c r="F154" s="1818"/>
      <c r="I154" s="490"/>
    </row>
    <row r="155" spans="2:9" ht="13.7" customHeight="1">
      <c r="D155" s="1818"/>
      <c r="E155" s="1818"/>
      <c r="F155" s="1818"/>
      <c r="I155" s="490"/>
    </row>
    <row r="156" spans="2:9" ht="13.7" customHeight="1">
      <c r="D156" s="1818"/>
      <c r="E156" s="1818"/>
      <c r="F156" s="1818"/>
      <c r="I156" s="490"/>
    </row>
    <row r="157" spans="2:9" ht="13.7" customHeight="1">
      <c r="D157" s="1818"/>
      <c r="E157" s="1818"/>
      <c r="F157" s="1818"/>
      <c r="I157" s="490"/>
    </row>
    <row r="158" spans="2:9" ht="13.7" customHeight="1">
      <c r="D158" s="1818"/>
      <c r="E158" s="1818"/>
      <c r="F158" s="1818"/>
      <c r="I158" s="490"/>
    </row>
    <row r="159" spans="2:9" ht="13.7" customHeight="1">
      <c r="D159" s="1818"/>
      <c r="E159" s="1818"/>
      <c r="F159" s="1818"/>
      <c r="I159" s="490"/>
    </row>
    <row r="160" spans="2:9" ht="13.7" customHeight="1">
      <c r="D160" s="1818"/>
      <c r="E160" s="1818"/>
      <c r="F160" s="1818"/>
      <c r="I160" s="490"/>
    </row>
    <row r="161" spans="1:9" ht="13.7" customHeight="1">
      <c r="D161" s="1818"/>
      <c r="E161" s="1818"/>
      <c r="F161" s="1818"/>
      <c r="I161" s="490"/>
    </row>
    <row r="162" spans="1:9" ht="13.7" customHeight="1">
      <c r="D162" s="1818"/>
      <c r="E162" s="1818"/>
      <c r="F162" s="1818"/>
      <c r="I162" s="490"/>
    </row>
    <row r="163" spans="1:9" ht="13.7" customHeight="1">
      <c r="D163" s="1818"/>
      <c r="E163" s="1818"/>
      <c r="F163" s="1818"/>
      <c r="I163" s="490"/>
    </row>
    <row r="164" spans="1:9" ht="13.7" customHeight="1">
      <c r="D164" s="1818"/>
      <c r="E164" s="1818"/>
      <c r="F164" s="1818"/>
      <c r="I164" s="490"/>
    </row>
    <row r="165" spans="1:9" ht="13.7" customHeight="1">
      <c r="D165" s="1818"/>
      <c r="E165" s="1818"/>
      <c r="F165" s="1818"/>
      <c r="I165" s="490"/>
    </row>
    <row r="166" spans="1:9" ht="13.7" customHeight="1">
      <c r="D166" s="1818"/>
      <c r="E166" s="1818"/>
      <c r="F166" s="1818"/>
      <c r="I166" s="490"/>
    </row>
    <row r="167" spans="1:9" ht="13.7" customHeight="1">
      <c r="D167" s="1818"/>
      <c r="E167" s="1818"/>
      <c r="F167" s="1818"/>
      <c r="I167" s="490"/>
    </row>
    <row r="168" spans="1:9" ht="13.7" customHeight="1">
      <c r="D168" s="1818"/>
      <c r="E168" s="1818"/>
      <c r="F168" s="1818"/>
      <c r="I168" s="490"/>
    </row>
    <row r="169" spans="1:9" ht="13.7" customHeight="1">
      <c r="D169" s="1837" t="s">
        <v>2030</v>
      </c>
      <c r="E169" s="1837"/>
      <c r="F169" s="1837"/>
      <c r="G169" s="507"/>
      <c r="I169" s="490"/>
    </row>
    <row r="170" spans="1:9" ht="13.7" customHeight="1">
      <c r="D170" s="1832"/>
      <c r="E170" s="1832"/>
      <c r="F170" s="1832"/>
      <c r="G170" s="1832"/>
      <c r="I170" s="490"/>
    </row>
    <row r="171" spans="1:9" ht="14.45" customHeight="1">
      <c r="A171" s="489"/>
      <c r="B171" s="485" t="s">
        <v>307</v>
      </c>
      <c r="C171" s="476"/>
      <c r="D171" s="1799" t="s">
        <v>2166</v>
      </c>
      <c r="E171" s="1799"/>
      <c r="F171" s="1799"/>
      <c r="G171" s="476"/>
      <c r="I171" s="490"/>
    </row>
    <row r="172" spans="1:9" ht="14.45" customHeight="1">
      <c r="A172" s="489"/>
      <c r="B172" s="489"/>
      <c r="C172" s="476"/>
      <c r="D172" s="1799"/>
      <c r="E172" s="1799"/>
      <c r="F172" s="1799"/>
      <c r="G172" s="476"/>
      <c r="I172" s="490"/>
    </row>
    <row r="173" spans="1:9" ht="14.45" customHeight="1">
      <c r="A173" s="489"/>
      <c r="B173" s="489"/>
      <c r="C173" s="476"/>
      <c r="D173" s="1799"/>
      <c r="E173" s="1799"/>
      <c r="F173" s="1799"/>
      <c r="G173" s="476"/>
      <c r="I173" s="490"/>
    </row>
    <row r="174" spans="1:9" ht="14.45" customHeight="1">
      <c r="A174" s="489"/>
      <c r="B174" s="489"/>
      <c r="C174" s="476"/>
      <c r="D174" s="1799"/>
      <c r="E174" s="1799"/>
      <c r="F174" s="1799"/>
      <c r="G174" s="476"/>
      <c r="I174" s="490"/>
    </row>
    <row r="175" spans="1:9" ht="13.7" customHeight="1">
      <c r="A175" s="489"/>
      <c r="B175" s="489"/>
      <c r="C175" s="476"/>
      <c r="D175" s="1799"/>
      <c r="E175" s="1799"/>
      <c r="F175" s="1799"/>
      <c r="G175" s="476"/>
      <c r="I175" s="490"/>
    </row>
    <row r="176" spans="1:9" ht="13.7" customHeight="1">
      <c r="A176" s="489"/>
      <c r="B176" s="489"/>
      <c r="C176" s="476"/>
      <c r="D176" s="476"/>
      <c r="E176" s="476"/>
      <c r="F176" s="476"/>
      <c r="G176" s="476"/>
      <c r="I176" s="490"/>
    </row>
    <row r="177" spans="1:9" ht="13.7" customHeight="1">
      <c r="A177" s="489"/>
      <c r="B177" s="485" t="s">
        <v>307</v>
      </c>
      <c r="C177" s="476"/>
      <c r="D177" s="1799" t="s">
        <v>1106</v>
      </c>
      <c r="E177" s="1799"/>
      <c r="F177" s="1799"/>
      <c r="G177" s="476"/>
      <c r="I177" s="490"/>
    </row>
    <row r="178" spans="1:9" ht="13.7" customHeight="1">
      <c r="A178" s="489"/>
      <c r="B178" s="489"/>
      <c r="C178" s="476"/>
      <c r="D178" s="1799"/>
      <c r="E178" s="1799"/>
      <c r="F178" s="1799"/>
      <c r="G178" s="476"/>
      <c r="I178" s="490"/>
    </row>
    <row r="179" spans="1:9" ht="13.7" customHeight="1">
      <c r="A179" s="489"/>
      <c r="B179" s="489"/>
      <c r="C179" s="476"/>
      <c r="D179" s="1799"/>
      <c r="E179" s="1799"/>
      <c r="F179" s="1799"/>
      <c r="G179" s="476"/>
      <c r="I179" s="490"/>
    </row>
    <row r="180" spans="1:9" ht="13.7" customHeight="1">
      <c r="A180" s="489"/>
      <c r="B180" s="489"/>
      <c r="C180" s="476"/>
      <c r="D180" s="1799"/>
      <c r="E180" s="1799"/>
      <c r="F180" s="1799"/>
      <c r="G180" s="476"/>
      <c r="I180" s="490"/>
    </row>
    <row r="181" spans="1:9" ht="13.7" customHeight="1">
      <c r="D181" s="446"/>
      <c r="E181" s="446"/>
      <c r="F181" s="446"/>
      <c r="I181" s="490"/>
    </row>
    <row r="182" spans="1:9" ht="13.7" hidden="1" customHeight="1">
      <c r="B182" s="485" t="s">
        <v>307</v>
      </c>
      <c r="D182" s="1822" t="s">
        <v>2009</v>
      </c>
      <c r="E182" s="1822"/>
      <c r="F182" s="1822"/>
      <c r="I182" s="490"/>
    </row>
    <row r="183" spans="1:9" ht="13.7" hidden="1" customHeight="1">
      <c r="D183" s="1822"/>
      <c r="E183" s="1822"/>
      <c r="F183" s="1822"/>
      <c r="I183" s="490"/>
    </row>
    <row r="184" spans="1:9" ht="13.7" hidden="1" customHeight="1">
      <c r="D184" s="1822"/>
      <c r="E184" s="1822"/>
      <c r="F184" s="1822"/>
      <c r="I184" s="490"/>
    </row>
    <row r="185" spans="1:9" ht="13.7" customHeight="1">
      <c r="A185" s="490"/>
      <c r="B185" s="490"/>
      <c r="E185" s="446"/>
      <c r="F185" s="446"/>
      <c r="I185" s="490"/>
    </row>
    <row r="186" spans="1:9">
      <c r="A186" s="1821" t="s">
        <v>2010</v>
      </c>
      <c r="B186" s="1821"/>
      <c r="C186" s="1821"/>
      <c r="D186" s="1821"/>
      <c r="E186" s="1821"/>
      <c r="F186" s="1821"/>
      <c r="G186" s="1821"/>
      <c r="H186" s="1023"/>
      <c r="I186" s="1147"/>
    </row>
    <row r="187" spans="1:9" ht="12" customHeight="1">
      <c r="D187" s="446"/>
      <c r="E187" s="446"/>
      <c r="F187" s="446"/>
      <c r="I187" s="490"/>
    </row>
    <row r="188" spans="1:9">
      <c r="B188" s="1825" t="s">
        <v>446</v>
      </c>
      <c r="C188" s="1825"/>
      <c r="D188" s="1825"/>
      <c r="E188" s="1825"/>
      <c r="F188" s="1825"/>
      <c r="I188" s="490"/>
    </row>
    <row r="189" spans="1:9">
      <c r="B189" s="392" t="s">
        <v>1848</v>
      </c>
      <c r="C189" s="392"/>
      <c r="D189" s="392"/>
      <c r="E189" s="392"/>
      <c r="F189" s="392"/>
      <c r="I189" s="490"/>
    </row>
    <row r="190" spans="1:9" ht="12" customHeight="1">
      <c r="A190" s="482"/>
      <c r="B190" s="482"/>
      <c r="C190" s="482"/>
      <c r="I190" s="490"/>
    </row>
    <row r="191" spans="1:9">
      <c r="A191" s="1821" t="s">
        <v>1045</v>
      </c>
      <c r="B191" s="1821"/>
      <c r="C191" s="1821"/>
      <c r="D191" s="1821"/>
      <c r="E191" s="1821"/>
      <c r="F191" s="1821"/>
      <c r="G191" s="1821"/>
      <c r="H191" s="1023"/>
      <c r="I191" s="1147"/>
    </row>
    <row r="192" spans="1:9" ht="12" customHeight="1">
      <c r="A192" s="404"/>
      <c r="B192" s="404"/>
      <c r="E192" s="404"/>
      <c r="I192" s="490"/>
    </row>
    <row r="193" spans="1:9" ht="13.7" customHeight="1">
      <c r="A193" s="404"/>
      <c r="B193" s="404"/>
      <c r="D193" s="1820" t="s">
        <v>1734</v>
      </c>
      <c r="E193" s="1820"/>
      <c r="F193" s="1820"/>
      <c r="I193" s="490"/>
    </row>
    <row r="194" spans="1:9">
      <c r="A194" s="404"/>
      <c r="B194" s="404"/>
      <c r="D194" s="1820"/>
      <c r="E194" s="1820"/>
      <c r="F194" s="1820"/>
      <c r="I194" s="490"/>
    </row>
    <row r="195" spans="1:9">
      <c r="A195" s="404"/>
      <c r="B195" s="404"/>
      <c r="D195" s="1825" t="s">
        <v>1195</v>
      </c>
      <c r="E195" s="1825"/>
      <c r="F195" s="1825"/>
      <c r="I195" s="490"/>
    </row>
    <row r="196" spans="1:9">
      <c r="A196" s="404"/>
      <c r="B196" s="404"/>
      <c r="D196" s="392"/>
      <c r="E196" s="392"/>
      <c r="F196" s="392"/>
      <c r="I196" s="490"/>
    </row>
    <row r="197" spans="1:9">
      <c r="A197" s="404"/>
      <c r="B197" s="485" t="s">
        <v>307</v>
      </c>
      <c r="D197" s="1833" t="s">
        <v>1735</v>
      </c>
      <c r="E197" s="1833"/>
      <c r="F197" s="1833"/>
      <c r="I197" s="490"/>
    </row>
    <row r="198" spans="1:9">
      <c r="A198" s="404"/>
      <c r="B198" s="404"/>
      <c r="D198" s="1834" t="s">
        <v>1874</v>
      </c>
      <c r="E198" s="1834"/>
      <c r="F198" s="1834"/>
      <c r="I198" s="490"/>
    </row>
    <row r="199" spans="1:9">
      <c r="A199" s="404"/>
      <c r="B199" s="404"/>
      <c r="D199" s="96" t="s">
        <v>1736</v>
      </c>
      <c r="E199" s="1835" t="s">
        <v>1897</v>
      </c>
      <c r="F199" s="1835"/>
      <c r="I199" s="490"/>
    </row>
    <row r="200" spans="1:9">
      <c r="A200" s="404"/>
      <c r="B200" s="404"/>
      <c r="D200" s="3"/>
      <c r="E200" s="3"/>
      <c r="F200" s="3"/>
      <c r="I200" s="490"/>
    </row>
    <row r="201" spans="1:9">
      <c r="A201" s="404"/>
      <c r="B201" s="485" t="s">
        <v>307</v>
      </c>
      <c r="D201" s="1834" t="s">
        <v>1737</v>
      </c>
      <c r="E201" s="1834"/>
      <c r="F201" s="1834"/>
      <c r="I201" s="490"/>
    </row>
    <row r="202" spans="1:9">
      <c r="A202" s="404"/>
      <c r="B202" s="404"/>
      <c r="D202" s="1833" t="s">
        <v>1874</v>
      </c>
      <c r="E202" s="1833"/>
      <c r="F202" s="1833"/>
      <c r="I202" s="490"/>
    </row>
    <row r="203" spans="1:9">
      <c r="A203" s="404"/>
      <c r="B203" s="404"/>
      <c r="D203" s="57" t="s">
        <v>1738</v>
      </c>
      <c r="E203" s="1835" t="s">
        <v>1898</v>
      </c>
      <c r="F203" s="1835"/>
      <c r="I203" s="490"/>
    </row>
    <row r="204" spans="1:9">
      <c r="A204" s="404"/>
      <c r="B204" s="404"/>
      <c r="D204" s="3"/>
      <c r="E204" s="3"/>
      <c r="F204" s="3"/>
      <c r="I204" s="490"/>
    </row>
    <row r="205" spans="1:9">
      <c r="A205" s="404"/>
      <c r="B205" s="485" t="s">
        <v>307</v>
      </c>
      <c r="D205" s="1834" t="s">
        <v>1739</v>
      </c>
      <c r="E205" s="1834"/>
      <c r="F205" s="1834"/>
      <c r="I205" s="490"/>
    </row>
    <row r="206" spans="1:9">
      <c r="A206" s="404"/>
      <c r="B206" s="404"/>
      <c r="D206" s="1833" t="s">
        <v>1874</v>
      </c>
      <c r="E206" s="1833"/>
      <c r="F206" s="1833"/>
      <c r="I206" s="490"/>
    </row>
    <row r="207" spans="1:9">
      <c r="A207" s="404"/>
      <c r="B207" s="404"/>
      <c r="D207" s="57" t="s">
        <v>1736</v>
      </c>
      <c r="E207" s="1835" t="s">
        <v>1899</v>
      </c>
      <c r="F207" s="1835"/>
      <c r="I207" s="490"/>
    </row>
    <row r="208" spans="1:9">
      <c r="A208" s="404"/>
      <c r="B208" s="404"/>
      <c r="D208" s="392"/>
      <c r="E208" s="392"/>
      <c r="F208" s="392"/>
      <c r="I208" s="490"/>
    </row>
    <row r="209" spans="1:9" ht="14.25" customHeight="1">
      <c r="A209" s="484"/>
      <c r="B209" s="485" t="s">
        <v>307</v>
      </c>
      <c r="D209" s="386" t="s">
        <v>1867</v>
      </c>
      <c r="E209" s="385"/>
      <c r="F209" s="385"/>
      <c r="I209" s="490"/>
    </row>
    <row r="210" spans="1:9" ht="14.25">
      <c r="A210" s="484"/>
      <c r="B210" s="484"/>
      <c r="D210" s="1833" t="s">
        <v>1874</v>
      </c>
      <c r="E210" s="1833"/>
      <c r="F210" s="1833"/>
      <c r="I210" s="490"/>
    </row>
    <row r="211" spans="1:9">
      <c r="D211" s="385"/>
      <c r="E211" s="1835" t="s">
        <v>1900</v>
      </c>
      <c r="F211" s="1835"/>
      <c r="I211" s="490"/>
    </row>
    <row r="212" spans="1:9">
      <c r="D212" s="447"/>
      <c r="I212" s="490"/>
    </row>
    <row r="213" spans="1:9">
      <c r="B213" s="485" t="s">
        <v>307</v>
      </c>
      <c r="D213" s="1834" t="s">
        <v>1740</v>
      </c>
      <c r="E213" s="1834"/>
      <c r="F213" s="1834"/>
      <c r="I213" s="490"/>
    </row>
    <row r="214" spans="1:9">
      <c r="D214" s="1833" t="s">
        <v>1874</v>
      </c>
      <c r="E214" s="1833"/>
      <c r="F214" s="1833"/>
      <c r="I214" s="490"/>
    </row>
    <row r="215" spans="1:9">
      <c r="D215" s="57" t="s">
        <v>1736</v>
      </c>
      <c r="E215" s="1835" t="s">
        <v>1901</v>
      </c>
      <c r="F215" s="1835"/>
      <c r="I215" s="490"/>
    </row>
    <row r="216" spans="1:9">
      <c r="D216" s="451"/>
      <c r="E216" s="451"/>
      <c r="F216" s="451"/>
      <c r="I216" s="490"/>
    </row>
    <row r="217" spans="1:9" ht="14.25">
      <c r="A217" s="484"/>
      <c r="B217" s="485" t="s">
        <v>307</v>
      </c>
      <c r="D217" s="1818" t="s">
        <v>1216</v>
      </c>
      <c r="E217" s="1818"/>
      <c r="F217" s="1818"/>
      <c r="I217" s="490"/>
    </row>
    <row r="218" spans="1:9" ht="14.45" customHeight="1">
      <c r="A218" s="484"/>
      <c r="B218" s="402"/>
      <c r="D218" s="1818"/>
      <c r="E218" s="1818"/>
      <c r="F218" s="1818"/>
      <c r="I218" s="490"/>
    </row>
    <row r="219" spans="1:9" ht="14.25">
      <c r="A219" s="484"/>
      <c r="D219" s="1818"/>
      <c r="E219" s="1818"/>
      <c r="F219" s="1818"/>
      <c r="I219" s="490"/>
    </row>
    <row r="220" spans="1:9" ht="14.25">
      <c r="A220" s="484"/>
      <c r="D220" s="1818"/>
      <c r="E220" s="1818"/>
      <c r="F220" s="1818"/>
      <c r="I220" s="490"/>
    </row>
    <row r="221" spans="1:9">
      <c r="D221" s="451"/>
      <c r="E221" s="451"/>
      <c r="F221" s="451"/>
      <c r="I221" s="490"/>
    </row>
    <row r="222" spans="1:9">
      <c r="A222" s="1821" t="s">
        <v>1046</v>
      </c>
      <c r="B222" s="1821"/>
      <c r="C222" s="1821"/>
      <c r="D222" s="1821"/>
      <c r="E222" s="1821"/>
      <c r="F222" s="1821"/>
      <c r="G222" s="1821"/>
      <c r="H222" s="1023"/>
      <c r="I222" s="1147"/>
    </row>
    <row r="223" spans="1:9" ht="12" customHeight="1">
      <c r="D223" s="446"/>
      <c r="E223" s="446"/>
      <c r="F223" s="446"/>
      <c r="I223" s="490"/>
    </row>
    <row r="224" spans="1:9">
      <c r="C224" s="486"/>
      <c r="D224" s="1827" t="s">
        <v>208</v>
      </c>
      <c r="E224" s="1827"/>
      <c r="F224" s="1827"/>
      <c r="I224" s="490"/>
    </row>
    <row r="225" spans="1:9">
      <c r="A225" s="482"/>
      <c r="B225" s="482"/>
      <c r="C225" s="482"/>
      <c r="D225" s="1819" t="s">
        <v>1120</v>
      </c>
      <c r="E225" s="1819"/>
      <c r="F225" s="1819"/>
      <c r="I225" s="490"/>
    </row>
    <row r="226" spans="1:9" ht="12" customHeight="1">
      <c r="A226" s="490"/>
      <c r="B226" s="490"/>
      <c r="C226" s="490"/>
      <c r="I226" s="490"/>
    </row>
    <row r="227" spans="1:9" ht="13.7" customHeight="1">
      <c r="A227" s="490"/>
      <c r="C227" s="490"/>
      <c r="D227" s="1827" t="s">
        <v>546</v>
      </c>
      <c r="E227" s="1827"/>
      <c r="F227" s="1827"/>
      <c r="I227" s="490"/>
    </row>
    <row r="228" spans="1:9" ht="14.25">
      <c r="A228" s="484"/>
      <c r="B228" s="485" t="s">
        <v>307</v>
      </c>
      <c r="D228" s="1818" t="s">
        <v>1741</v>
      </c>
      <c r="E228" s="1818"/>
      <c r="F228" s="1818"/>
      <c r="I228" s="490"/>
    </row>
    <row r="229" spans="1:9" ht="14.25" customHeight="1">
      <c r="A229" s="484"/>
      <c r="B229" s="484"/>
      <c r="D229" s="1818"/>
      <c r="E229" s="1818"/>
      <c r="F229" s="1818"/>
      <c r="I229" s="490"/>
    </row>
    <row r="230" spans="1:9" ht="14.25" customHeight="1">
      <c r="A230" s="484"/>
      <c r="B230" s="484"/>
      <c r="D230" s="1818"/>
      <c r="E230" s="1818"/>
      <c r="F230" s="1818"/>
      <c r="I230" s="490"/>
    </row>
    <row r="231" spans="1:9" ht="14.25">
      <c r="A231" s="484"/>
      <c r="B231" s="484"/>
      <c r="D231" s="1818"/>
      <c r="E231" s="1818"/>
      <c r="F231" s="1818"/>
      <c r="I231" s="490"/>
    </row>
    <row r="232" spans="1:9" ht="14.25">
      <c r="A232" s="484"/>
      <c r="B232" s="484"/>
      <c r="D232" s="445"/>
      <c r="E232" s="445"/>
      <c r="F232" s="445"/>
      <c r="I232" s="490"/>
    </row>
    <row r="233" spans="1:9" ht="14.25">
      <c r="A233" s="484"/>
      <c r="B233" s="485" t="s">
        <v>307</v>
      </c>
      <c r="D233" s="1818" t="s">
        <v>1742</v>
      </c>
      <c r="E233" s="1818"/>
      <c r="F233" s="1818"/>
      <c r="I233" s="490"/>
    </row>
    <row r="234" spans="1:9" ht="14.25">
      <c r="A234" s="484"/>
      <c r="B234" s="484"/>
      <c r="D234" s="1818"/>
      <c r="E234" s="1818"/>
      <c r="F234" s="1818"/>
      <c r="I234" s="490"/>
    </row>
    <row r="235" spans="1:9" ht="14.25">
      <c r="A235" s="484"/>
      <c r="B235" s="484"/>
      <c r="D235" s="1818"/>
      <c r="E235" s="1818"/>
      <c r="F235" s="1818"/>
      <c r="I235" s="490"/>
    </row>
    <row r="236" spans="1:9" ht="14.25">
      <c r="A236" s="484"/>
      <c r="B236" s="484"/>
      <c r="D236" s="1818"/>
      <c r="E236" s="1818"/>
      <c r="F236" s="1818"/>
      <c r="I236" s="490"/>
    </row>
    <row r="237" spans="1:9" ht="14.25" customHeight="1">
      <c r="A237" s="484"/>
      <c r="B237" s="484"/>
      <c r="D237" s="1818"/>
      <c r="E237" s="1818"/>
      <c r="F237" s="1818"/>
      <c r="I237" s="490"/>
    </row>
    <row r="238" spans="1:9" ht="14.25" customHeight="1">
      <c r="A238" s="484"/>
      <c r="B238" s="484"/>
      <c r="D238" s="445"/>
      <c r="E238" s="445"/>
      <c r="F238" s="445"/>
      <c r="I238" s="490"/>
    </row>
    <row r="239" spans="1:9" ht="14.25">
      <c r="A239" s="484"/>
      <c r="B239" s="484"/>
      <c r="D239" s="1818" t="s">
        <v>1118</v>
      </c>
      <c r="E239" s="1818"/>
      <c r="F239" s="1818"/>
      <c r="I239" s="490"/>
    </row>
    <row r="240" spans="1:9" ht="14.25">
      <c r="A240" s="484"/>
      <c r="B240" s="484"/>
      <c r="D240" s="1818"/>
      <c r="E240" s="1818"/>
      <c r="F240" s="1818"/>
      <c r="I240" s="490"/>
    </row>
    <row r="241" spans="1:9" ht="14.25">
      <c r="A241" s="484"/>
      <c r="B241" s="484"/>
      <c r="D241" s="1818"/>
      <c r="E241" s="1818"/>
      <c r="F241" s="1818"/>
      <c r="I241" s="490"/>
    </row>
    <row r="242" spans="1:9" ht="14.25">
      <c r="A242" s="484"/>
      <c r="B242" s="484"/>
      <c r="D242" s="1818"/>
      <c r="E242" s="1818"/>
      <c r="F242" s="1818"/>
      <c r="I242" s="490"/>
    </row>
    <row r="243" spans="1:9" ht="14.25">
      <c r="A243" s="484"/>
      <c r="B243" s="484"/>
      <c r="D243" s="1818"/>
      <c r="E243" s="1818"/>
      <c r="F243" s="1818"/>
      <c r="I243" s="490"/>
    </row>
    <row r="244" spans="1:9" ht="14.25">
      <c r="A244" s="484"/>
      <c r="B244" s="484"/>
      <c r="D244" s="446"/>
      <c r="E244" s="446"/>
      <c r="F244" s="446"/>
      <c r="I244" s="490"/>
    </row>
    <row r="245" spans="1:9" ht="14.25">
      <c r="A245" s="484"/>
      <c r="B245" s="485" t="s">
        <v>307</v>
      </c>
      <c r="D245" s="1818" t="s">
        <v>2011</v>
      </c>
      <c r="E245" s="1818"/>
      <c r="F245" s="1818"/>
      <c r="I245" s="490"/>
    </row>
    <row r="246" spans="1:9" ht="14.25">
      <c r="A246" s="484"/>
      <c r="B246" s="484"/>
      <c r="D246" s="1818"/>
      <c r="E246" s="1818"/>
      <c r="F246" s="1818"/>
      <c r="I246" s="490"/>
    </row>
    <row r="247" spans="1:9" ht="14.25">
      <c r="A247" s="484"/>
      <c r="B247" s="484"/>
      <c r="D247" s="1818"/>
      <c r="E247" s="1818"/>
      <c r="F247" s="1818"/>
      <c r="I247" s="490"/>
    </row>
    <row r="248" spans="1:9" ht="14.25">
      <c r="A248" s="484"/>
      <c r="B248" s="484"/>
      <c r="E248" s="1031" t="s">
        <v>1868</v>
      </c>
      <c r="I248" s="490"/>
    </row>
    <row r="249" spans="1:9" ht="14.25">
      <c r="A249" s="484"/>
      <c r="B249" s="484"/>
      <c r="D249" s="446"/>
      <c r="E249" s="446"/>
      <c r="F249" s="446"/>
      <c r="I249" s="490"/>
    </row>
    <row r="250" spans="1:9" ht="14.45" customHeight="1">
      <c r="A250" s="484"/>
      <c r="B250" s="485" t="s">
        <v>307</v>
      </c>
      <c r="D250" s="1818" t="s">
        <v>2012</v>
      </c>
      <c r="E250" s="1818"/>
      <c r="F250" s="1818"/>
      <c r="I250" s="490"/>
    </row>
    <row r="251" spans="1:9" ht="14.25">
      <c r="A251" s="484"/>
      <c r="B251" s="484"/>
      <c r="D251" s="1818"/>
      <c r="E251" s="1818"/>
      <c r="F251" s="1818"/>
      <c r="I251" s="490"/>
    </row>
    <row r="252" spans="1:9" ht="14.25">
      <c r="A252" s="484"/>
      <c r="B252" s="484"/>
      <c r="D252" s="1818"/>
      <c r="E252" s="1818"/>
      <c r="F252" s="1818"/>
      <c r="I252" s="490"/>
    </row>
    <row r="253" spans="1:9" ht="14.25">
      <c r="A253" s="484"/>
      <c r="B253" s="484"/>
      <c r="D253" s="1818"/>
      <c r="E253" s="1818"/>
      <c r="F253" s="1818"/>
      <c r="I253" s="490"/>
    </row>
    <row r="254" spans="1:9" ht="14.25">
      <c r="A254" s="484"/>
      <c r="B254" s="484"/>
      <c r="D254" s="1818"/>
      <c r="E254" s="1818"/>
      <c r="F254" s="1818"/>
      <c r="I254" s="490"/>
    </row>
    <row r="255" spans="1:9" ht="14.25">
      <c r="A255" s="484"/>
      <c r="B255" s="484"/>
      <c r="D255" s="445"/>
      <c r="E255" s="445"/>
      <c r="F255" s="445"/>
      <c r="I255" s="490"/>
    </row>
    <row r="256" spans="1:9" ht="14.25">
      <c r="A256" s="484"/>
      <c r="B256" s="485" t="s">
        <v>307</v>
      </c>
      <c r="D256" s="392" t="s">
        <v>2013</v>
      </c>
      <c r="E256" s="445"/>
      <c r="F256" s="445"/>
      <c r="I256" s="490"/>
    </row>
    <row r="257" spans="1:9" ht="14.25">
      <c r="A257" s="484"/>
      <c r="B257" s="484"/>
      <c r="E257" s="1031" t="s">
        <v>1869</v>
      </c>
      <c r="I257" s="490"/>
    </row>
    <row r="258" spans="1:9">
      <c r="D258" s="446"/>
      <c r="E258" s="446"/>
      <c r="F258" s="446"/>
      <c r="I258" s="490"/>
    </row>
    <row r="259" spans="1:9" ht="14.25">
      <c r="A259" s="484"/>
      <c r="B259" s="485" t="s">
        <v>307</v>
      </c>
      <c r="D259" s="1818" t="s">
        <v>1119</v>
      </c>
      <c r="E259" s="1818"/>
      <c r="F259" s="1818"/>
      <c r="I259" s="490"/>
    </row>
    <row r="260" spans="1:9" ht="14.25">
      <c r="A260" s="484"/>
      <c r="B260" s="484"/>
      <c r="D260" s="1818"/>
      <c r="E260" s="1818"/>
      <c r="F260" s="1818"/>
      <c r="I260" s="490"/>
    </row>
    <row r="261" spans="1:9">
      <c r="D261" s="491"/>
      <c r="I261" s="490"/>
    </row>
    <row r="262" spans="1:9">
      <c r="A262" s="1821" t="s">
        <v>1047</v>
      </c>
      <c r="B262" s="1821"/>
      <c r="C262" s="1821"/>
      <c r="D262" s="1821"/>
      <c r="E262" s="1821"/>
      <c r="F262" s="1821"/>
      <c r="G262" s="1821"/>
      <c r="H262" s="1023"/>
      <c r="I262" s="1147"/>
    </row>
    <row r="263" spans="1:9">
      <c r="D263" s="491"/>
      <c r="I263" s="490"/>
    </row>
    <row r="264" spans="1:9">
      <c r="C264" s="486"/>
      <c r="D264" s="1827" t="s">
        <v>1121</v>
      </c>
      <c r="E264" s="1827"/>
      <c r="F264" s="1827"/>
      <c r="I264" s="490"/>
    </row>
    <row r="265" spans="1:9">
      <c r="A265" s="482"/>
      <c r="B265" s="482"/>
      <c r="C265" s="482"/>
      <c r="D265" s="446"/>
      <c r="E265" s="446"/>
      <c r="F265" s="446"/>
      <c r="I265" s="490"/>
    </row>
    <row r="266" spans="1:9">
      <c r="A266" s="483"/>
      <c r="B266" s="483"/>
      <c r="C266" s="483"/>
      <c r="D266" s="1827" t="s">
        <v>269</v>
      </c>
      <c r="E266" s="1827"/>
      <c r="F266" s="1827"/>
      <c r="I266" s="490"/>
    </row>
    <row r="267" spans="1:9" ht="14.45" customHeight="1">
      <c r="A267" s="484"/>
      <c r="B267" s="485" t="s">
        <v>307</v>
      </c>
      <c r="D267" s="1818" t="s">
        <v>1196</v>
      </c>
      <c r="E267" s="1818"/>
      <c r="F267" s="1818"/>
      <c r="I267" s="490"/>
    </row>
    <row r="268" spans="1:9">
      <c r="D268" s="1818"/>
      <c r="E268" s="1818"/>
      <c r="F268" s="1818"/>
      <c r="I268" s="490"/>
    </row>
    <row r="269" spans="1:9">
      <c r="E269" s="1031" t="s">
        <v>1870</v>
      </c>
      <c r="I269" s="490"/>
    </row>
    <row r="270" spans="1:9">
      <c r="D270" s="446"/>
      <c r="E270" s="446"/>
      <c r="F270" s="446"/>
      <c r="I270" s="490"/>
    </row>
    <row r="271" spans="1:9" ht="14.45" customHeight="1">
      <c r="A271" s="484"/>
      <c r="B271" s="485" t="s">
        <v>307</v>
      </c>
      <c r="D271" s="1818" t="s">
        <v>2014</v>
      </c>
      <c r="E271" s="1818"/>
      <c r="F271" s="1818"/>
      <c r="I271" s="490"/>
    </row>
    <row r="272" spans="1:9">
      <c r="D272" s="1818"/>
      <c r="E272" s="1818"/>
      <c r="F272" s="1818"/>
      <c r="I272" s="490"/>
    </row>
    <row r="273" spans="1:9">
      <c r="D273" s="1818"/>
      <c r="E273" s="1818"/>
      <c r="F273" s="1818"/>
      <c r="I273" s="490"/>
    </row>
    <row r="274" spans="1:9">
      <c r="D274" s="1818"/>
      <c r="E274" s="1818"/>
      <c r="F274" s="1818"/>
      <c r="I274" s="490"/>
    </row>
    <row r="275" spans="1:9">
      <c r="D275" s="1818"/>
      <c r="E275" s="1818"/>
      <c r="F275" s="1818"/>
      <c r="I275" s="490"/>
    </row>
    <row r="276" spans="1:9">
      <c r="D276" s="1818"/>
      <c r="E276" s="1818"/>
      <c r="F276" s="1818"/>
      <c r="I276" s="490"/>
    </row>
    <row r="277" spans="1:9">
      <c r="D277" s="446"/>
      <c r="E277" s="446"/>
      <c r="F277" s="446"/>
      <c r="I277" s="490"/>
    </row>
    <row r="278" spans="1:9" ht="14.25">
      <c r="A278" s="484"/>
      <c r="B278" s="485" t="s">
        <v>307</v>
      </c>
      <c r="D278" s="1818" t="s">
        <v>1122</v>
      </c>
      <c r="E278" s="1818"/>
      <c r="F278" s="1818"/>
      <c r="I278" s="490"/>
    </row>
    <row r="279" spans="1:9">
      <c r="D279" s="1818"/>
      <c r="E279" s="1818"/>
      <c r="F279" s="1818"/>
      <c r="I279" s="490"/>
    </row>
    <row r="280" spans="1:9">
      <c r="D280" s="1818"/>
      <c r="E280" s="1818"/>
      <c r="F280" s="1818"/>
      <c r="I280" s="490"/>
    </row>
    <row r="281" spans="1:9">
      <c r="D281" s="492"/>
      <c r="E281" s="446"/>
      <c r="F281" s="446"/>
      <c r="I281" s="490"/>
    </row>
    <row r="282" spans="1:9">
      <c r="A282" s="1821" t="s">
        <v>1048</v>
      </c>
      <c r="B282" s="1821"/>
      <c r="C282" s="1821"/>
      <c r="D282" s="1821"/>
      <c r="E282" s="1821"/>
      <c r="F282" s="1821"/>
      <c r="G282" s="1821"/>
      <c r="H282" s="1023"/>
      <c r="I282" s="1147"/>
    </row>
    <row r="283" spans="1:9">
      <c r="D283" s="492"/>
      <c r="E283" s="446"/>
      <c r="F283" s="446"/>
      <c r="I283" s="490"/>
    </row>
    <row r="284" spans="1:9">
      <c r="C284" s="482"/>
      <c r="D284" s="1820" t="s">
        <v>1123</v>
      </c>
      <c r="E284" s="1820"/>
      <c r="F284" s="1820"/>
      <c r="I284" s="490"/>
    </row>
    <row r="285" spans="1:9">
      <c r="C285" s="482"/>
      <c r="D285" s="1820"/>
      <c r="E285" s="1820"/>
      <c r="F285" s="1820"/>
      <c r="I285" s="490"/>
    </row>
    <row r="286" spans="1:9">
      <c r="A286" s="483"/>
      <c r="B286" s="483"/>
      <c r="C286" s="483"/>
      <c r="D286" s="404"/>
      <c r="I286" s="490"/>
    </row>
    <row r="287" spans="1:9">
      <c r="C287" s="483"/>
      <c r="D287" s="1827" t="s">
        <v>209</v>
      </c>
      <c r="E287" s="1827"/>
      <c r="F287" s="1827"/>
      <c r="I287" s="490"/>
    </row>
    <row r="288" spans="1:9" ht="15.75" customHeight="1">
      <c r="A288" s="484"/>
      <c r="B288" s="484"/>
      <c r="D288" s="1830" t="s">
        <v>1124</v>
      </c>
      <c r="E288" s="1830"/>
      <c r="F288" s="1830"/>
      <c r="I288" s="490"/>
    </row>
    <row r="289" spans="1:9">
      <c r="E289" s="446"/>
      <c r="F289" s="446"/>
      <c r="I289" s="490"/>
    </row>
    <row r="290" spans="1:9" ht="14.25">
      <c r="A290" s="484"/>
      <c r="B290" s="485" t="s">
        <v>307</v>
      </c>
      <c r="D290" s="1818" t="s">
        <v>1125</v>
      </c>
      <c r="E290" s="1818"/>
      <c r="F290" s="1818"/>
      <c r="I290" s="490"/>
    </row>
    <row r="291" spans="1:9" ht="14.25">
      <c r="A291" s="484"/>
      <c r="B291" s="484"/>
      <c r="D291" s="1818"/>
      <c r="E291" s="1818"/>
      <c r="F291" s="1818"/>
      <c r="I291" s="490"/>
    </row>
    <row r="292" spans="1:9">
      <c r="D292" s="446"/>
      <c r="E292" s="446"/>
      <c r="F292" s="446"/>
      <c r="I292" s="490"/>
    </row>
    <row r="293" spans="1:9" ht="14.25">
      <c r="A293" s="484"/>
      <c r="B293" s="485" t="s">
        <v>307</v>
      </c>
      <c r="D293" s="1818" t="s">
        <v>1126</v>
      </c>
      <c r="E293" s="1818"/>
      <c r="F293" s="1818"/>
      <c r="I293" s="490"/>
    </row>
    <row r="294" spans="1:9" ht="14.25">
      <c r="A294" s="484"/>
      <c r="B294" s="484"/>
      <c r="D294" s="1818"/>
      <c r="E294" s="1818"/>
      <c r="F294" s="1818"/>
      <c r="I294" s="490"/>
    </row>
    <row r="295" spans="1:9" ht="14.25">
      <c r="A295" s="484"/>
      <c r="B295" s="484"/>
      <c r="D295" s="1818"/>
      <c r="E295" s="1818"/>
      <c r="F295" s="1818"/>
      <c r="I295" s="490"/>
    </row>
    <row r="296" spans="1:9">
      <c r="D296" s="446"/>
      <c r="E296" s="446"/>
      <c r="F296" s="446"/>
      <c r="I296" s="490"/>
    </row>
    <row r="297" spans="1:9" ht="14.25">
      <c r="A297" s="484"/>
      <c r="B297" s="485" t="s">
        <v>307</v>
      </c>
      <c r="D297" s="1818" t="s">
        <v>1127</v>
      </c>
      <c r="E297" s="1818"/>
      <c r="F297" s="1818"/>
      <c r="I297" s="490"/>
    </row>
    <row r="298" spans="1:9" ht="14.25">
      <c r="A298" s="484"/>
      <c r="B298" s="484"/>
      <c r="D298" s="1818"/>
      <c r="E298" s="1818"/>
      <c r="F298" s="1818"/>
      <c r="I298" s="490"/>
    </row>
    <row r="299" spans="1:9">
      <c r="A299" s="490"/>
      <c r="B299" s="490"/>
      <c r="E299" s="446"/>
      <c r="F299" s="446"/>
      <c r="I299" s="490"/>
    </row>
    <row r="300" spans="1:9">
      <c r="A300" s="1821" t="s">
        <v>1049</v>
      </c>
      <c r="B300" s="1821"/>
      <c r="C300" s="1821"/>
      <c r="D300" s="1821"/>
      <c r="E300" s="1821"/>
      <c r="F300" s="1821"/>
      <c r="G300" s="1821"/>
      <c r="H300" s="1023"/>
      <c r="I300" s="1147"/>
    </row>
    <row r="301" spans="1:9">
      <c r="A301" s="490"/>
      <c r="B301" s="490"/>
      <c r="D301" s="446"/>
      <c r="E301" s="446"/>
      <c r="F301" s="446"/>
      <c r="I301" s="490"/>
    </row>
    <row r="302" spans="1:9">
      <c r="C302" s="490"/>
      <c r="D302" s="1827" t="s">
        <v>682</v>
      </c>
      <c r="E302" s="1827"/>
      <c r="F302" s="1827"/>
      <c r="I302" s="490"/>
    </row>
    <row r="303" spans="1:9">
      <c r="C303" s="490"/>
      <c r="D303" s="1819" t="s">
        <v>1128</v>
      </c>
      <c r="E303" s="1819"/>
      <c r="F303" s="1819"/>
      <c r="I303" s="490"/>
    </row>
    <row r="304" spans="1:9">
      <c r="C304" s="490"/>
      <c r="D304" s="493"/>
      <c r="I304" s="490"/>
    </row>
    <row r="305" spans="1:9">
      <c r="B305" s="485" t="s">
        <v>307</v>
      </c>
      <c r="D305" s="1819" t="s">
        <v>1129</v>
      </c>
      <c r="E305" s="1819"/>
      <c r="F305" s="1819"/>
      <c r="I305" s="490"/>
    </row>
    <row r="306" spans="1:9" ht="14.25">
      <c r="A306" s="484"/>
      <c r="B306" s="484"/>
      <c r="D306" s="494"/>
      <c r="E306" s="495"/>
      <c r="F306" s="495"/>
      <c r="I306" s="490"/>
    </row>
    <row r="307" spans="1:9" ht="13.7" customHeight="1">
      <c r="B307" s="485" t="s">
        <v>307</v>
      </c>
      <c r="D307" s="1842" t="s">
        <v>1219</v>
      </c>
      <c r="E307" s="1842"/>
      <c r="F307" s="1842"/>
      <c r="I307" s="490"/>
    </row>
    <row r="308" spans="1:9" ht="14.25">
      <c r="A308" s="484"/>
      <c r="B308" s="484"/>
      <c r="D308" s="1842"/>
      <c r="E308" s="1842"/>
      <c r="F308" s="1842"/>
      <c r="I308" s="490"/>
    </row>
    <row r="309" spans="1:9" ht="14.25">
      <c r="A309" s="484"/>
      <c r="B309" s="484"/>
      <c r="D309" s="1842"/>
      <c r="E309" s="1842"/>
      <c r="F309" s="1842"/>
      <c r="I309" s="490"/>
    </row>
    <row r="310" spans="1:9" ht="14.25">
      <c r="A310" s="484"/>
      <c r="B310" s="484"/>
      <c r="D310" s="1842"/>
      <c r="E310" s="1842"/>
      <c r="F310" s="1842"/>
      <c r="I310" s="490"/>
    </row>
    <row r="311" spans="1:9" ht="14.25">
      <c r="A311" s="484"/>
      <c r="B311" s="484"/>
      <c r="D311" s="1842"/>
      <c r="E311" s="1842"/>
      <c r="F311" s="1842"/>
      <c r="I311" s="490"/>
    </row>
    <row r="312" spans="1:9" ht="14.25">
      <c r="A312" s="484"/>
      <c r="B312" s="484"/>
      <c r="D312" s="494"/>
      <c r="E312" s="495"/>
      <c r="F312" s="495"/>
      <c r="I312" s="490"/>
    </row>
    <row r="313" spans="1:9" ht="13.7" customHeight="1">
      <c r="B313" s="485" t="s">
        <v>307</v>
      </c>
      <c r="D313" s="1842" t="s">
        <v>1130</v>
      </c>
      <c r="E313" s="1842"/>
      <c r="F313" s="1842"/>
      <c r="I313" s="490"/>
    </row>
    <row r="314" spans="1:9">
      <c r="D314" s="1842"/>
      <c r="E314" s="1842"/>
      <c r="F314" s="1842"/>
      <c r="I314" s="490"/>
    </row>
    <row r="315" spans="1:9" ht="14.25">
      <c r="A315" s="484"/>
      <c r="B315" s="484"/>
      <c r="D315" s="494"/>
      <c r="E315" s="495"/>
      <c r="F315" s="495"/>
      <c r="I315" s="490"/>
    </row>
    <row r="316" spans="1:9">
      <c r="B316" s="485" t="s">
        <v>307</v>
      </c>
      <c r="D316" s="1819" t="s">
        <v>1131</v>
      </c>
      <c r="E316" s="1819"/>
      <c r="F316" s="1819"/>
      <c r="I316" s="490"/>
    </row>
    <row r="317" spans="1:9">
      <c r="E317" s="446"/>
      <c r="F317" s="446"/>
      <c r="I317" s="490"/>
    </row>
    <row r="318" spans="1:9" ht="14.25">
      <c r="A318" s="484"/>
      <c r="B318" s="485" t="s">
        <v>307</v>
      </c>
      <c r="D318" s="1818" t="s">
        <v>2197</v>
      </c>
      <c r="E318" s="1818"/>
      <c r="F318" s="1818"/>
      <c r="I318" s="490"/>
    </row>
    <row r="319" spans="1:9" ht="14.25">
      <c r="A319" s="484"/>
      <c r="B319" s="484"/>
      <c r="D319" s="1818"/>
      <c r="E319" s="1818"/>
      <c r="F319" s="1818"/>
      <c r="I319" s="490"/>
    </row>
    <row r="320" spans="1:9" ht="14.25">
      <c r="A320" s="484"/>
      <c r="B320" s="484"/>
      <c r="D320" s="1818"/>
      <c r="E320" s="1818"/>
      <c r="F320" s="1818"/>
      <c r="I320" s="490"/>
    </row>
    <row r="321" spans="1:9" ht="14.25">
      <c r="A321" s="484"/>
      <c r="B321" s="484"/>
      <c r="D321" s="1818"/>
      <c r="E321" s="1818"/>
      <c r="F321" s="1818"/>
      <c r="I321" s="490"/>
    </row>
    <row r="322" spans="1:9" ht="14.25">
      <c r="A322" s="484"/>
      <c r="B322" s="484"/>
      <c r="D322" s="1818"/>
      <c r="E322" s="1818"/>
      <c r="F322" s="1818"/>
      <c r="I322" s="490"/>
    </row>
    <row r="323" spans="1:9" ht="14.25">
      <c r="A323" s="484"/>
      <c r="B323" s="484"/>
      <c r="D323" s="1818"/>
      <c r="E323" s="1818"/>
      <c r="F323" s="1818"/>
      <c r="I323" s="490"/>
    </row>
    <row r="324" spans="1:9" ht="14.25">
      <c r="A324" s="484"/>
      <c r="B324" s="484"/>
      <c r="D324" s="1818"/>
      <c r="E324" s="1818"/>
      <c r="F324" s="1818"/>
      <c r="I324" s="490"/>
    </row>
    <row r="325" spans="1:9" ht="14.25">
      <c r="A325" s="484"/>
      <c r="B325" s="484"/>
      <c r="D325" s="1818"/>
      <c r="E325" s="1818"/>
      <c r="F325" s="1818"/>
      <c r="I325" s="490"/>
    </row>
    <row r="326" spans="1:9" ht="14.25">
      <c r="A326" s="484"/>
      <c r="B326" s="484"/>
      <c r="D326" s="1818"/>
      <c r="E326" s="1818"/>
      <c r="F326" s="1818"/>
      <c r="I326" s="490"/>
    </row>
    <row r="327" spans="1:9" ht="14.25">
      <c r="A327" s="484"/>
      <c r="B327" s="484"/>
      <c r="D327" s="1818"/>
      <c r="E327" s="1818"/>
      <c r="F327" s="1818"/>
      <c r="I327" s="490"/>
    </row>
    <row r="328" spans="1:9" ht="14.25">
      <c r="A328" s="484"/>
      <c r="B328" s="484"/>
      <c r="D328" s="1818"/>
      <c r="E328" s="1818"/>
      <c r="F328" s="1818"/>
      <c r="I328" s="490"/>
    </row>
    <row r="329" spans="1:9" ht="14.25">
      <c r="A329" s="484"/>
      <c r="B329" s="484"/>
      <c r="D329" s="1818"/>
      <c r="E329" s="1818"/>
      <c r="F329" s="1818"/>
      <c r="I329" s="490"/>
    </row>
    <row r="330" spans="1:9" ht="14.25">
      <c r="A330" s="484"/>
      <c r="B330" s="484"/>
      <c r="D330" s="1818"/>
      <c r="E330" s="1818"/>
      <c r="F330" s="1818"/>
      <c r="I330" s="490"/>
    </row>
    <row r="331" spans="1:9" ht="14.25">
      <c r="A331" s="484"/>
      <c r="B331" s="484"/>
      <c r="D331" s="1818"/>
      <c r="E331" s="1818"/>
      <c r="F331" s="1818"/>
      <c r="I331" s="490"/>
    </row>
    <row r="332" spans="1:9" ht="14.25">
      <c r="A332" s="484"/>
      <c r="B332" s="484"/>
      <c r="D332" s="1818"/>
      <c r="E332" s="1818"/>
      <c r="F332" s="1818"/>
      <c r="I332" s="490"/>
    </row>
    <row r="333" spans="1:9">
      <c r="D333" s="446"/>
      <c r="E333" s="446"/>
      <c r="F333" s="446"/>
      <c r="I333" s="490"/>
    </row>
    <row r="334" spans="1:9" ht="14.25">
      <c r="A334" s="484"/>
      <c r="B334" s="485" t="s">
        <v>307</v>
      </c>
      <c r="D334" s="1818" t="s">
        <v>1132</v>
      </c>
      <c r="E334" s="1818"/>
      <c r="F334" s="1818"/>
      <c r="I334" s="490"/>
    </row>
    <row r="335" spans="1:9">
      <c r="D335" s="1818"/>
      <c r="E335" s="1818"/>
      <c r="F335" s="1818"/>
      <c r="I335" s="490"/>
    </row>
    <row r="336" spans="1:9">
      <c r="D336" s="1818"/>
      <c r="E336" s="1818"/>
      <c r="F336" s="1818"/>
      <c r="I336" s="490"/>
    </row>
    <row r="337" spans="1:9">
      <c r="D337" s="1818"/>
      <c r="E337" s="1818"/>
      <c r="F337" s="1818"/>
      <c r="I337" s="490"/>
    </row>
    <row r="338" spans="1:9">
      <c r="D338" s="1818"/>
      <c r="E338" s="1818"/>
      <c r="F338" s="1818"/>
      <c r="I338" s="490"/>
    </row>
    <row r="339" spans="1:9">
      <c r="D339" s="1818"/>
      <c r="E339" s="1818"/>
      <c r="F339" s="1818"/>
      <c r="I339" s="490"/>
    </row>
    <row r="340" spans="1:9">
      <c r="D340" s="1818"/>
      <c r="E340" s="1818"/>
      <c r="F340" s="1818"/>
      <c r="I340" s="490"/>
    </row>
    <row r="341" spans="1:9">
      <c r="D341" s="1818"/>
      <c r="E341" s="1818"/>
      <c r="F341" s="1818"/>
      <c r="I341" s="490"/>
    </row>
    <row r="342" spans="1:9">
      <c r="D342" s="1818"/>
      <c r="E342" s="1818"/>
      <c r="F342" s="1818"/>
      <c r="I342" s="490"/>
    </row>
    <row r="343" spans="1:9">
      <c r="D343" s="446"/>
      <c r="E343" s="446"/>
      <c r="F343" s="446"/>
      <c r="I343" s="490"/>
    </row>
    <row r="344" spans="1:9" ht="14.25" customHeight="1">
      <c r="A344" s="484"/>
      <c r="B344" s="485" t="s">
        <v>307</v>
      </c>
      <c r="D344" s="1818" t="s">
        <v>1875</v>
      </c>
      <c r="E344" s="1818"/>
      <c r="F344" s="1818"/>
      <c r="I344" s="490"/>
    </row>
    <row r="345" spans="1:9">
      <c r="D345" s="1818"/>
      <c r="E345" s="1818"/>
      <c r="F345" s="1818"/>
      <c r="I345" s="490"/>
    </row>
    <row r="346" spans="1:9">
      <c r="D346" s="1818"/>
      <c r="E346" s="1818"/>
      <c r="F346" s="1818"/>
      <c r="I346" s="490"/>
    </row>
    <row r="347" spans="1:9">
      <c r="D347" s="1818"/>
      <c r="E347" s="1818"/>
      <c r="F347" s="1818"/>
      <c r="I347" s="490"/>
    </row>
    <row r="348" spans="1:9">
      <c r="D348" s="386" t="s">
        <v>1874</v>
      </c>
      <c r="E348" s="385"/>
      <c r="F348" s="385"/>
      <c r="I348" s="490"/>
    </row>
    <row r="349" spans="1:9">
      <c r="D349" s="385"/>
      <c r="E349" s="96" t="s">
        <v>1871</v>
      </c>
      <c r="G349" s="96"/>
      <c r="I349" s="490"/>
    </row>
    <row r="350" spans="1:9">
      <c r="D350" s="445"/>
      <c r="E350" s="445"/>
      <c r="F350" s="445"/>
      <c r="I350" s="490"/>
    </row>
    <row r="351" spans="1:9" ht="13.5" thickBot="1">
      <c r="A351" s="1017"/>
      <c r="B351" s="1017"/>
      <c r="C351" s="1017"/>
      <c r="D351" s="1851" t="s">
        <v>979</v>
      </c>
      <c r="E351" s="1851"/>
      <c r="F351" s="1851"/>
      <c r="G351" s="1022"/>
      <c r="H351" s="1022"/>
      <c r="I351" s="1150"/>
    </row>
    <row r="352" spans="1:9" ht="13.5" thickTop="1">
      <c r="D352" s="1850" t="s">
        <v>2198</v>
      </c>
      <c r="E352" s="1850"/>
      <c r="F352" s="1850"/>
      <c r="I352" s="490"/>
    </row>
    <row r="353" spans="1:9">
      <c r="D353" s="446"/>
      <c r="E353" s="446"/>
      <c r="F353" s="446"/>
      <c r="I353" s="490"/>
    </row>
    <row r="354" spans="1:9">
      <c r="A354" s="476"/>
      <c r="B354" s="476"/>
      <c r="C354" s="476"/>
      <c r="D354" s="447"/>
      <c r="E354" s="447"/>
      <c r="F354" s="446"/>
      <c r="I354" s="490"/>
    </row>
    <row r="355" spans="1:9" ht="14.25">
      <c r="A355" s="484"/>
      <c r="B355" s="485" t="s">
        <v>307</v>
      </c>
      <c r="C355" s="487"/>
      <c r="D355" s="1819" t="s">
        <v>1873</v>
      </c>
      <c r="E355" s="1819"/>
      <c r="F355" s="1819"/>
      <c r="I355" s="490"/>
    </row>
    <row r="356" spans="1:9" ht="12.75" customHeight="1">
      <c r="D356" s="1032"/>
      <c r="E356" s="96" t="s">
        <v>1872</v>
      </c>
      <c r="F356" s="1032"/>
      <c r="I356" s="490"/>
    </row>
    <row r="357" spans="1:9">
      <c r="D357" s="1818" t="s">
        <v>1239</v>
      </c>
      <c r="E357" s="1818"/>
      <c r="F357" s="1818"/>
      <c r="I357" s="490"/>
    </row>
    <row r="358" spans="1:9">
      <c r="D358" s="1818"/>
      <c r="E358" s="1818"/>
      <c r="F358" s="1818"/>
      <c r="I358" s="490"/>
    </row>
    <row r="359" spans="1:9">
      <c r="D359" s="1818"/>
      <c r="E359" s="1818"/>
      <c r="F359" s="1818"/>
      <c r="I359" s="490"/>
    </row>
    <row r="360" spans="1:9" ht="14.25">
      <c r="A360" s="484"/>
      <c r="B360" s="485" t="s">
        <v>307</v>
      </c>
      <c r="C360" s="476"/>
      <c r="D360" s="1832" t="s">
        <v>2015</v>
      </c>
      <c r="E360" s="1832"/>
      <c r="F360" s="1832"/>
      <c r="I360" s="480"/>
    </row>
    <row r="361" spans="1:9">
      <c r="A361" s="476"/>
      <c r="B361" s="476"/>
      <c r="C361" s="476"/>
      <c r="D361" s="447"/>
      <c r="E361" s="447"/>
      <c r="F361" s="446"/>
      <c r="I361" s="490"/>
    </row>
    <row r="362" spans="1:9">
      <c r="A362" s="476"/>
      <c r="B362" s="485" t="s">
        <v>307</v>
      </c>
      <c r="C362" s="476"/>
      <c r="D362" s="1799" t="s">
        <v>2016</v>
      </c>
      <c r="E362" s="1799"/>
      <c r="F362" s="1799"/>
      <c r="I362" s="490"/>
    </row>
    <row r="363" spans="1:9">
      <c r="A363" s="476"/>
      <c r="B363" s="476"/>
      <c r="C363" s="476"/>
      <c r="D363" s="1799"/>
      <c r="E363" s="1799"/>
      <c r="F363" s="1799"/>
      <c r="I363" s="490"/>
    </row>
    <row r="364" spans="1:9">
      <c r="A364" s="476"/>
      <c r="B364" s="476"/>
      <c r="C364" s="476"/>
      <c r="D364" s="1799"/>
      <c r="E364" s="1799"/>
      <c r="F364" s="1799"/>
      <c r="I364" s="490"/>
    </row>
    <row r="365" spans="1:9">
      <c r="A365" s="476"/>
      <c r="B365" s="476"/>
      <c r="C365" s="476"/>
      <c r="D365" s="1799"/>
      <c r="E365" s="1799"/>
      <c r="F365" s="1799"/>
      <c r="I365" s="490"/>
    </row>
    <row r="366" spans="1:9">
      <c r="A366" s="476"/>
      <c r="B366" s="476"/>
      <c r="C366" s="476"/>
      <c r="D366" s="1799"/>
      <c r="E366" s="1799"/>
      <c r="F366" s="1799"/>
      <c r="I366" s="490"/>
    </row>
    <row r="367" spans="1:9">
      <c r="A367" s="476"/>
      <c r="B367" s="476"/>
      <c r="C367" s="476"/>
      <c r="D367" s="1799"/>
      <c r="E367" s="1799"/>
      <c r="F367" s="1799"/>
      <c r="I367" s="490"/>
    </row>
    <row r="368" spans="1:9">
      <c r="A368" s="476"/>
      <c r="B368" s="476"/>
      <c r="C368" s="476"/>
      <c r="D368" s="1799"/>
      <c r="E368" s="1799"/>
      <c r="F368" s="1799"/>
      <c r="I368" s="490"/>
    </row>
    <row r="369" spans="1:9">
      <c r="A369" s="476"/>
      <c r="B369" s="476"/>
      <c r="C369" s="476"/>
      <c r="D369" s="1799"/>
      <c r="E369" s="1799"/>
      <c r="F369" s="1799"/>
      <c r="I369" s="490"/>
    </row>
    <row r="370" spans="1:9">
      <c r="A370" s="476"/>
      <c r="B370" s="476"/>
      <c r="C370" s="476"/>
      <c r="D370" s="1799"/>
      <c r="E370" s="1799"/>
      <c r="F370" s="1799"/>
      <c r="I370" s="490"/>
    </row>
    <row r="371" spans="1:9">
      <c r="A371" s="476"/>
      <c r="B371" s="476"/>
      <c r="C371" s="476"/>
      <c r="D371" s="1799"/>
      <c r="E371" s="1799"/>
      <c r="F371" s="1799"/>
      <c r="I371" s="490"/>
    </row>
    <row r="372" spans="1:9">
      <c r="A372" s="476"/>
      <c r="B372" s="476"/>
      <c r="C372" s="476"/>
      <c r="D372" s="1799"/>
      <c r="E372" s="1799"/>
      <c r="F372" s="1799"/>
      <c r="I372" s="490"/>
    </row>
    <row r="373" spans="1:9">
      <c r="A373" s="476"/>
      <c r="B373" s="476"/>
      <c r="C373" s="476"/>
      <c r="D373" s="1799"/>
      <c r="E373" s="1799"/>
      <c r="F373" s="1799"/>
      <c r="I373" s="490"/>
    </row>
    <row r="374" spans="1:9">
      <c r="A374" s="476"/>
      <c r="B374" s="476"/>
      <c r="C374" s="476"/>
      <c r="D374" s="451"/>
      <c r="E374" s="451"/>
      <c r="F374" s="451"/>
      <c r="I374" s="490"/>
    </row>
    <row r="375" spans="1:9" ht="12.4" customHeight="1">
      <c r="A375" s="476"/>
      <c r="B375" s="485" t="s">
        <v>307</v>
      </c>
      <c r="C375" s="476"/>
      <c r="D375" s="1814" t="s">
        <v>1221</v>
      </c>
      <c r="E375" s="1814"/>
      <c r="F375" s="1814"/>
      <c r="I375" s="490"/>
    </row>
    <row r="376" spans="1:9">
      <c r="A376" s="476"/>
      <c r="B376" s="476"/>
      <c r="C376" s="476"/>
      <c r="D376" s="1814"/>
      <c r="E376" s="1814"/>
      <c r="F376" s="1814"/>
      <c r="I376" s="490"/>
    </row>
    <row r="377" spans="1:9">
      <c r="A377" s="476"/>
      <c r="B377" s="476"/>
      <c r="C377" s="476"/>
      <c r="D377" s="1814"/>
      <c r="E377" s="1814"/>
      <c r="F377" s="1814"/>
      <c r="I377" s="490"/>
    </row>
    <row r="378" spans="1:9">
      <c r="A378" s="476"/>
      <c r="B378" s="476"/>
      <c r="C378" s="476"/>
      <c r="D378" s="1814"/>
      <c r="E378" s="1814"/>
      <c r="F378" s="1814"/>
      <c r="I378" s="490"/>
    </row>
    <row r="379" spans="1:9">
      <c r="A379" s="476"/>
      <c r="B379" s="476"/>
      <c r="C379" s="476"/>
      <c r="D379" s="524"/>
      <c r="E379" s="524"/>
      <c r="F379" s="524"/>
      <c r="I379" s="490"/>
    </row>
    <row r="380" spans="1:9">
      <c r="A380" s="476"/>
      <c r="B380" s="485" t="s">
        <v>307</v>
      </c>
      <c r="C380" s="476"/>
      <c r="D380" s="402" t="s">
        <v>1810</v>
      </c>
      <c r="E380" s="524"/>
      <c r="F380" s="524"/>
      <c r="I380" s="490"/>
    </row>
    <row r="381" spans="1:9">
      <c r="A381" s="476"/>
      <c r="B381" s="476"/>
      <c r="C381" s="476"/>
      <c r="D381" s="402" t="s">
        <v>1811</v>
      </c>
      <c r="E381" s="524"/>
      <c r="F381" s="524"/>
      <c r="I381" s="490"/>
    </row>
    <row r="382" spans="1:9">
      <c r="A382" s="476"/>
      <c r="B382" s="476"/>
      <c r="C382" s="476"/>
      <c r="D382" s="402" t="s">
        <v>1812</v>
      </c>
      <c r="E382" s="524"/>
      <c r="F382" s="524"/>
      <c r="I382" s="490"/>
    </row>
    <row r="383" spans="1:9">
      <c r="A383" s="476"/>
      <c r="B383" s="476"/>
      <c r="C383" s="476"/>
      <c r="D383" s="402" t="s">
        <v>1813</v>
      </c>
      <c r="E383" s="524"/>
      <c r="F383" s="524"/>
      <c r="I383" s="490"/>
    </row>
    <row r="384" spans="1:9">
      <c r="A384" s="476"/>
      <c r="B384" s="476"/>
      <c r="C384" s="476"/>
      <c r="D384" s="402" t="s">
        <v>1814</v>
      </c>
      <c r="E384" s="524"/>
      <c r="F384" s="524"/>
      <c r="I384" s="490"/>
    </row>
    <row r="385" spans="1:9">
      <c r="A385" s="476"/>
      <c r="B385" s="476"/>
      <c r="C385" s="476"/>
      <c r="D385" s="402" t="s">
        <v>1815</v>
      </c>
      <c r="E385" s="524"/>
      <c r="F385" s="524"/>
      <c r="I385" s="490"/>
    </row>
    <row r="386" spans="1:9">
      <c r="A386" s="476"/>
      <c r="B386" s="476"/>
      <c r="C386" s="476"/>
      <c r="E386" s="447"/>
      <c r="F386" s="446"/>
      <c r="I386" s="490"/>
    </row>
    <row r="387" spans="1:9" ht="14.25">
      <c r="A387" s="484"/>
      <c r="B387" s="485" t="s">
        <v>307</v>
      </c>
      <c r="C387" s="476"/>
      <c r="D387" s="1799" t="s">
        <v>1133</v>
      </c>
      <c r="E387" s="1799"/>
      <c r="F387" s="1799"/>
      <c r="I387" s="490"/>
    </row>
    <row r="388" spans="1:9">
      <c r="A388" s="476"/>
      <c r="B388" s="476"/>
      <c r="C388" s="476"/>
      <c r="D388" s="1799"/>
      <c r="E388" s="1799"/>
      <c r="F388" s="1799"/>
      <c r="I388" s="490"/>
    </row>
    <row r="389" spans="1:9">
      <c r="A389" s="476"/>
      <c r="B389" s="476"/>
      <c r="C389" s="476"/>
      <c r="D389" s="1799"/>
      <c r="E389" s="1799"/>
      <c r="F389" s="1799"/>
      <c r="I389" s="490"/>
    </row>
    <row r="390" spans="1:9">
      <c r="A390" s="476"/>
      <c r="B390" s="476"/>
      <c r="C390" s="476"/>
      <c r="D390" s="1799"/>
      <c r="E390" s="1799"/>
      <c r="F390" s="1799"/>
      <c r="I390" s="490"/>
    </row>
    <row r="391" spans="1:9">
      <c r="A391" s="476"/>
      <c r="B391" s="476"/>
      <c r="C391" s="476"/>
      <c r="D391" s="447"/>
      <c r="E391" s="447"/>
      <c r="F391" s="446"/>
      <c r="I391" s="490"/>
    </row>
    <row r="392" spans="1:9">
      <c r="A392" s="476"/>
      <c r="B392" s="476"/>
      <c r="C392" s="476"/>
      <c r="D392" s="1799" t="s">
        <v>1134</v>
      </c>
      <c r="E392" s="1799"/>
      <c r="F392" s="1799"/>
      <c r="I392" s="490"/>
    </row>
    <row r="393" spans="1:9">
      <c r="A393" s="476"/>
      <c r="B393" s="476"/>
      <c r="C393" s="476"/>
      <c r="D393" s="1799"/>
      <c r="E393" s="1799"/>
      <c r="F393" s="1799"/>
      <c r="I393" s="490"/>
    </row>
    <row r="394" spans="1:9">
      <c r="A394" s="476"/>
      <c r="B394" s="476"/>
      <c r="C394" s="476"/>
      <c r="D394" s="1799"/>
      <c r="E394" s="1799"/>
      <c r="F394" s="1799"/>
      <c r="I394" s="490"/>
    </row>
    <row r="395" spans="1:9">
      <c r="A395" s="476"/>
      <c r="B395" s="476"/>
      <c r="C395" s="476"/>
      <c r="D395" s="1799"/>
      <c r="E395" s="1799"/>
      <c r="F395" s="1799"/>
      <c r="I395" s="490"/>
    </row>
    <row r="396" spans="1:9" ht="18" customHeight="1">
      <c r="A396" s="476"/>
      <c r="B396" s="476"/>
      <c r="C396" s="476"/>
      <c r="D396" s="1799"/>
      <c r="E396" s="1799"/>
      <c r="F396" s="1799"/>
      <c r="I396" s="490"/>
    </row>
    <row r="397" spans="1:9">
      <c r="A397" s="476"/>
      <c r="B397" s="476"/>
      <c r="C397" s="476"/>
      <c r="D397" s="1799"/>
      <c r="E397" s="1799"/>
      <c r="F397" s="1799"/>
      <c r="I397" s="490"/>
    </row>
    <row r="398" spans="1:9">
      <c r="A398" s="476"/>
      <c r="B398" s="476"/>
      <c r="C398" s="476"/>
      <c r="D398" s="1799"/>
      <c r="E398" s="1799"/>
      <c r="F398" s="1799"/>
      <c r="I398" s="490"/>
    </row>
    <row r="399" spans="1:9">
      <c r="A399" s="476"/>
      <c r="B399" s="476"/>
      <c r="C399" s="476"/>
      <c r="D399" s="1799"/>
      <c r="E399" s="1799"/>
      <c r="F399" s="1799"/>
      <c r="I399" s="490"/>
    </row>
    <row r="400" spans="1:9" ht="8.25" customHeight="1">
      <c r="A400" s="476"/>
      <c r="B400" s="476"/>
      <c r="C400" s="476"/>
      <c r="D400" s="1799"/>
      <c r="E400" s="1799"/>
      <c r="F400" s="1799"/>
      <c r="I400" s="490"/>
    </row>
    <row r="401" spans="1:9" ht="13.7" customHeight="1">
      <c r="A401" s="476"/>
      <c r="B401" s="476"/>
      <c r="C401" s="476"/>
      <c r="D401" s="1799" t="s">
        <v>1135</v>
      </c>
      <c r="E401" s="1799"/>
      <c r="F401" s="1799"/>
      <c r="I401" s="490"/>
    </row>
    <row r="402" spans="1:9">
      <c r="A402" s="476"/>
      <c r="B402" s="476"/>
      <c r="C402" s="476"/>
      <c r="D402" s="1799"/>
      <c r="E402" s="1799"/>
      <c r="F402" s="1799"/>
      <c r="I402" s="490"/>
    </row>
    <row r="403" spans="1:9">
      <c r="A403" s="476"/>
      <c r="B403" s="476"/>
      <c r="C403" s="476"/>
      <c r="D403" s="1799"/>
      <c r="E403" s="1799"/>
      <c r="F403" s="1799"/>
      <c r="I403" s="490"/>
    </row>
    <row r="404" spans="1:9">
      <c r="A404" s="476"/>
      <c r="B404" s="476"/>
      <c r="C404" s="476"/>
      <c r="D404" s="1799"/>
      <c r="E404" s="1799"/>
      <c r="F404" s="1799"/>
      <c r="I404" s="490"/>
    </row>
    <row r="405" spans="1:9">
      <c r="A405" s="476"/>
      <c r="B405" s="476"/>
      <c r="C405" s="476"/>
      <c r="D405" s="1799"/>
      <c r="E405" s="1799"/>
      <c r="F405" s="1799"/>
      <c r="I405" s="490"/>
    </row>
    <row r="406" spans="1:9">
      <c r="A406" s="476"/>
      <c r="B406" s="476"/>
      <c r="C406" s="476"/>
      <c r="D406" s="1799"/>
      <c r="E406" s="1799"/>
      <c r="F406" s="1799"/>
      <c r="I406" s="490"/>
    </row>
    <row r="407" spans="1:9">
      <c r="A407" s="476"/>
      <c r="B407" s="476"/>
      <c r="C407" s="476"/>
      <c r="D407" s="1799"/>
      <c r="E407" s="1799"/>
      <c r="F407" s="1799"/>
      <c r="I407" s="490"/>
    </row>
    <row r="408" spans="1:9">
      <c r="A408" s="476"/>
      <c r="B408" s="476"/>
      <c r="C408" s="476"/>
      <c r="D408" s="1799"/>
      <c r="E408" s="1799"/>
      <c r="F408" s="1799"/>
      <c r="I408" s="490"/>
    </row>
    <row r="409" spans="1:9">
      <c r="A409" s="476"/>
      <c r="B409" s="476"/>
      <c r="C409" s="476"/>
      <c r="D409" s="1799"/>
      <c r="E409" s="1799"/>
      <c r="F409" s="1799"/>
      <c r="I409" s="490"/>
    </row>
    <row r="410" spans="1:9">
      <c r="A410" s="476"/>
      <c r="B410" s="476"/>
      <c r="C410" s="476"/>
      <c r="D410" s="1799"/>
      <c r="E410" s="1799"/>
      <c r="F410" s="1799"/>
      <c r="I410" s="490"/>
    </row>
    <row r="411" spans="1:9">
      <c r="A411" s="476"/>
      <c r="B411" s="476"/>
      <c r="C411" s="476"/>
      <c r="D411" s="1799"/>
      <c r="E411" s="1799"/>
      <c r="F411" s="1799"/>
      <c r="I411" s="490"/>
    </row>
    <row r="412" spans="1:9">
      <c r="A412" s="476"/>
      <c r="B412" s="476"/>
      <c r="C412" s="476"/>
      <c r="D412" s="1799"/>
      <c r="E412" s="1799"/>
      <c r="F412" s="1799"/>
      <c r="I412" s="490"/>
    </row>
    <row r="413" spans="1:9">
      <c r="A413" s="476"/>
      <c r="B413" s="476"/>
      <c r="C413" s="496"/>
      <c r="D413" s="1799"/>
      <c r="E413" s="1799"/>
      <c r="F413" s="1799"/>
      <c r="I413" s="490"/>
    </row>
    <row r="414" spans="1:9">
      <c r="A414" s="476"/>
      <c r="B414" s="476"/>
      <c r="C414" s="496"/>
      <c r="D414" s="1799"/>
      <c r="E414" s="1799"/>
      <c r="F414" s="1799"/>
      <c r="I414" s="490"/>
    </row>
    <row r="415" spans="1:9">
      <c r="A415" s="476"/>
      <c r="B415" s="476"/>
      <c r="C415" s="476"/>
      <c r="D415" s="1799"/>
      <c r="E415" s="1799"/>
      <c r="F415" s="1799"/>
      <c r="I415" s="490"/>
    </row>
    <row r="416" spans="1:9">
      <c r="A416" s="476"/>
      <c r="B416" s="476"/>
      <c r="C416" s="496"/>
      <c r="D416" s="1799"/>
      <c r="E416" s="1799"/>
      <c r="F416" s="1799"/>
      <c r="I416" s="490"/>
    </row>
    <row r="417" spans="1:9">
      <c r="A417" s="476"/>
      <c r="B417" s="476"/>
      <c r="C417" s="496"/>
      <c r="D417" s="1799"/>
      <c r="E417" s="1799"/>
      <c r="F417" s="1799"/>
      <c r="I417" s="490"/>
    </row>
    <row r="418" spans="1:9">
      <c r="A418" s="476"/>
      <c r="B418" s="476"/>
      <c r="C418" s="496"/>
      <c r="D418" s="1799"/>
      <c r="E418" s="1799"/>
      <c r="F418" s="1799"/>
      <c r="I418" s="490"/>
    </row>
    <row r="419" spans="1:9">
      <c r="A419" s="476"/>
      <c r="B419" s="476"/>
      <c r="C419" s="476"/>
      <c r="D419" s="447"/>
      <c r="E419" s="447"/>
      <c r="F419" s="446"/>
      <c r="I419" s="490"/>
    </row>
    <row r="420" spans="1:9">
      <c r="A420" s="476"/>
      <c r="B420" s="485" t="s">
        <v>307</v>
      </c>
      <c r="C420" s="476"/>
      <c r="D420" s="1799" t="s">
        <v>1136</v>
      </c>
      <c r="E420" s="1799"/>
      <c r="F420" s="1799"/>
      <c r="I420" s="490"/>
    </row>
    <row r="421" spans="1:9">
      <c r="A421" s="476"/>
      <c r="B421" s="476"/>
      <c r="C421" s="476"/>
      <c r="D421" s="1799"/>
      <c r="E421" s="1799"/>
      <c r="F421" s="1799"/>
      <c r="I421" s="490"/>
    </row>
    <row r="422" spans="1:9">
      <c r="A422" s="476"/>
      <c r="B422" s="476"/>
      <c r="C422" s="476"/>
      <c r="D422" s="451"/>
      <c r="E422" s="451"/>
      <c r="F422" s="451"/>
      <c r="I422" s="490"/>
    </row>
    <row r="423" spans="1:9" ht="14.45" customHeight="1">
      <c r="A423" s="484"/>
      <c r="B423" s="485" t="s">
        <v>307</v>
      </c>
      <c r="D423" s="1799" t="s">
        <v>1855</v>
      </c>
      <c r="E423" s="1799"/>
      <c r="F423" s="1799"/>
      <c r="I423" s="490"/>
    </row>
    <row r="424" spans="1:9" ht="14.45" customHeight="1">
      <c r="A424" s="484"/>
      <c r="D424" s="1799"/>
      <c r="E424" s="1799"/>
      <c r="F424" s="1799"/>
      <c r="I424" s="490"/>
    </row>
    <row r="425" spans="1:9" ht="14.45" customHeight="1">
      <c r="A425" s="484"/>
      <c r="D425" s="1799"/>
      <c r="E425" s="1799"/>
      <c r="F425" s="1799"/>
      <c r="I425" s="490"/>
    </row>
    <row r="426" spans="1:9" ht="14.45" customHeight="1">
      <c r="A426" s="484"/>
      <c r="D426" s="1799"/>
      <c r="E426" s="1799"/>
      <c r="F426" s="1799"/>
      <c r="I426" s="490"/>
    </row>
    <row r="427" spans="1:9" ht="14.45" customHeight="1">
      <c r="A427" s="484"/>
      <c r="D427" s="1799"/>
      <c r="E427" s="1799"/>
      <c r="F427" s="1799"/>
      <c r="I427" s="490"/>
    </row>
    <row r="428" spans="1:9" ht="14.45" customHeight="1">
      <c r="A428" s="484"/>
      <c r="D428" s="385"/>
      <c r="E428" s="385"/>
      <c r="F428" s="385"/>
      <c r="I428" s="490"/>
    </row>
    <row r="429" spans="1:9" ht="13.7" customHeight="1">
      <c r="A429" s="484"/>
      <c r="B429" s="485" t="s">
        <v>307</v>
      </c>
      <c r="C429" s="476"/>
      <c r="D429" s="1799" t="s">
        <v>1240</v>
      </c>
      <c r="E429" s="1799"/>
      <c r="F429" s="1799"/>
      <c r="I429" s="490"/>
    </row>
    <row r="430" spans="1:9" ht="14.25">
      <c r="A430" s="497"/>
      <c r="B430" s="497"/>
      <c r="C430" s="476"/>
      <c r="D430" s="1799"/>
      <c r="E430" s="1799"/>
      <c r="F430" s="1799"/>
      <c r="I430" s="490"/>
    </row>
    <row r="431" spans="1:9" ht="14.25">
      <c r="A431" s="497"/>
      <c r="B431" s="497"/>
      <c r="C431" s="476"/>
      <c r="D431" s="1799"/>
      <c r="E431" s="1799"/>
      <c r="F431" s="1799"/>
      <c r="I431" s="490"/>
    </row>
    <row r="432" spans="1:9" ht="14.25">
      <c r="A432" s="497"/>
      <c r="B432" s="497"/>
      <c r="C432" s="476"/>
      <c r="D432" s="1799"/>
      <c r="E432" s="1799"/>
      <c r="F432" s="1799"/>
      <c r="I432" s="490"/>
    </row>
    <row r="433" spans="1:9" ht="15.75" customHeight="1">
      <c r="A433" s="497"/>
      <c r="B433" s="497"/>
      <c r="C433" s="476"/>
      <c r="D433" s="1824" t="s">
        <v>2607</v>
      </c>
      <c r="E433" s="1799"/>
      <c r="F433" s="1799"/>
      <c r="I433" s="490"/>
    </row>
    <row r="434" spans="1:9">
      <c r="D434" s="446"/>
      <c r="E434" s="446"/>
      <c r="F434" s="446"/>
      <c r="I434" s="490"/>
    </row>
    <row r="435" spans="1:9" ht="14.25">
      <c r="A435" s="484"/>
      <c r="B435" s="485" t="s">
        <v>307</v>
      </c>
      <c r="C435" s="487"/>
      <c r="D435" s="1818" t="s">
        <v>2017</v>
      </c>
      <c r="E435" s="1818"/>
      <c r="F435" s="1818"/>
      <c r="I435" s="490"/>
    </row>
    <row r="436" spans="1:9" ht="14.25">
      <c r="A436" s="484"/>
      <c r="B436" s="484"/>
      <c r="D436" s="1818"/>
      <c r="E436" s="1818"/>
      <c r="F436" s="1818"/>
      <c r="I436" s="490"/>
    </row>
    <row r="437" spans="1:9">
      <c r="D437" s="1818"/>
      <c r="E437" s="1818"/>
      <c r="F437" s="1818"/>
      <c r="I437" s="490"/>
    </row>
    <row r="438" spans="1:9">
      <c r="D438" s="1818"/>
      <c r="E438" s="1818"/>
      <c r="F438" s="1818"/>
      <c r="I438" s="490"/>
    </row>
    <row r="439" spans="1:9">
      <c r="D439" s="1818"/>
      <c r="E439" s="1818"/>
      <c r="F439" s="1818"/>
      <c r="I439" s="490"/>
    </row>
    <row r="440" spans="1:9">
      <c r="D440" s="1818"/>
      <c r="E440" s="1818"/>
      <c r="F440" s="1818"/>
      <c r="I440" s="490"/>
    </row>
    <row r="441" spans="1:9">
      <c r="D441" s="1818"/>
      <c r="E441" s="1818"/>
      <c r="F441" s="1818"/>
      <c r="I441" s="490"/>
    </row>
    <row r="442" spans="1:9">
      <c r="D442" s="1818"/>
      <c r="E442" s="1818"/>
      <c r="F442" s="1818"/>
      <c r="I442" s="490"/>
    </row>
    <row r="443" spans="1:9">
      <c r="D443" s="1818"/>
      <c r="E443" s="1818"/>
      <c r="F443" s="1818"/>
      <c r="I443" s="490"/>
    </row>
    <row r="444" spans="1:9">
      <c r="D444" s="1818"/>
      <c r="E444" s="1818"/>
      <c r="F444" s="1818"/>
      <c r="I444" s="490"/>
    </row>
    <row r="445" spans="1:9">
      <c r="D445" s="1818"/>
      <c r="E445" s="1818"/>
      <c r="F445" s="1818"/>
      <c r="I445" s="490"/>
    </row>
    <row r="446" spans="1:9">
      <c r="D446" s="1818"/>
      <c r="E446" s="1818"/>
      <c r="F446" s="1818"/>
      <c r="I446" s="490"/>
    </row>
    <row r="447" spans="1:9">
      <c r="D447" s="1818"/>
      <c r="E447" s="1818"/>
      <c r="F447" s="1818"/>
      <c r="I447" s="490"/>
    </row>
    <row r="448" spans="1:9">
      <c r="A448" s="402"/>
      <c r="B448" s="402"/>
      <c r="C448" s="402"/>
      <c r="D448" s="1818"/>
      <c r="E448" s="1818"/>
      <c r="F448" s="1818"/>
      <c r="I448" s="490"/>
    </row>
    <row r="449" spans="1:9">
      <c r="A449" s="402"/>
      <c r="B449" s="402"/>
      <c r="C449" s="402"/>
      <c r="D449" s="1818"/>
      <c r="E449" s="1818"/>
      <c r="F449" s="1818"/>
      <c r="I449" s="490"/>
    </row>
    <row r="450" spans="1:9">
      <c r="A450" s="402"/>
      <c r="B450" s="402"/>
      <c r="C450" s="402"/>
      <c r="D450" s="1818"/>
      <c r="E450" s="1818"/>
      <c r="F450" s="1818"/>
      <c r="I450" s="490"/>
    </row>
    <row r="451" spans="1:9">
      <c r="A451" s="402"/>
      <c r="B451" s="402"/>
      <c r="C451" s="402"/>
      <c r="D451" s="1818"/>
      <c r="E451" s="1818"/>
      <c r="F451" s="1818"/>
      <c r="I451" s="490"/>
    </row>
    <row r="452" spans="1:9">
      <c r="A452" s="402"/>
      <c r="B452" s="402"/>
      <c r="C452" s="402"/>
      <c r="D452" s="1818"/>
      <c r="E452" s="1818"/>
      <c r="F452" s="1818"/>
      <c r="I452" s="490"/>
    </row>
    <row r="453" spans="1:9">
      <c r="A453" s="402"/>
      <c r="B453" s="402"/>
      <c r="C453" s="402"/>
      <c r="D453" s="1818"/>
      <c r="E453" s="1818"/>
      <c r="F453" s="1818"/>
      <c r="I453" s="490"/>
    </row>
    <row r="454" spans="1:9">
      <c r="A454" s="402"/>
      <c r="B454" s="402"/>
      <c r="C454" s="402"/>
      <c r="D454" s="1818"/>
      <c r="E454" s="1818"/>
      <c r="F454" s="1818"/>
      <c r="I454" s="490"/>
    </row>
    <row r="455" spans="1:9">
      <c r="A455" s="402"/>
      <c r="B455" s="402"/>
      <c r="C455" s="402"/>
      <c r="D455" s="1818"/>
      <c r="E455" s="1818"/>
      <c r="F455" s="1818"/>
      <c r="I455" s="490"/>
    </row>
    <row r="456" spans="1:9">
      <c r="A456" s="402"/>
      <c r="B456" s="402"/>
      <c r="C456" s="402"/>
      <c r="D456" s="1818"/>
      <c r="E456" s="1818"/>
      <c r="F456" s="1818"/>
      <c r="I456" s="490"/>
    </row>
    <row r="457" spans="1:9">
      <c r="A457" s="402"/>
      <c r="B457" s="402"/>
      <c r="C457" s="402"/>
      <c r="D457" s="1818"/>
      <c r="E457" s="1818"/>
      <c r="F457" s="1818"/>
      <c r="I457" s="490"/>
    </row>
    <row r="458" spans="1:9">
      <c r="A458" s="402"/>
      <c r="B458" s="402"/>
      <c r="C458" s="402"/>
      <c r="D458" s="1818"/>
      <c r="E458" s="1818"/>
      <c r="F458" s="1818"/>
      <c r="I458" s="490"/>
    </row>
    <row r="459" spans="1:9">
      <c r="A459" s="402"/>
      <c r="B459" s="402"/>
      <c r="C459" s="402"/>
      <c r="D459" s="1818"/>
      <c r="E459" s="1818"/>
      <c r="F459" s="1818"/>
      <c r="I459" s="490"/>
    </row>
    <row r="460" spans="1:9">
      <c r="A460" s="402"/>
      <c r="B460" s="402"/>
      <c r="C460" s="402"/>
      <c r="D460" s="1818"/>
      <c r="E460" s="1818"/>
      <c r="F460" s="1818"/>
      <c r="I460" s="490"/>
    </row>
    <row r="461" spans="1:9">
      <c r="A461" s="402"/>
      <c r="B461" s="402"/>
      <c r="C461" s="402"/>
      <c r="D461" s="1818"/>
      <c r="E461" s="1818"/>
      <c r="F461" s="1818"/>
      <c r="I461" s="490"/>
    </row>
    <row r="462" spans="1:9">
      <c r="A462" s="402"/>
      <c r="B462" s="402"/>
      <c r="C462" s="402"/>
      <c r="D462" s="1818"/>
      <c r="E462" s="1818"/>
      <c r="F462" s="1818"/>
      <c r="I462" s="490"/>
    </row>
    <row r="463" spans="1:9">
      <c r="A463" s="402"/>
      <c r="B463" s="402"/>
      <c r="C463" s="402"/>
      <c r="D463" s="1818"/>
      <c r="E463" s="1818"/>
      <c r="F463" s="1818"/>
      <c r="I463" s="490"/>
    </row>
    <row r="464" spans="1:9">
      <c r="D464" s="1818"/>
      <c r="E464" s="1818"/>
      <c r="F464" s="1818"/>
      <c r="I464" s="490"/>
    </row>
    <row r="465" spans="1:9" ht="40.700000000000003" customHeight="1">
      <c r="D465" s="1818"/>
      <c r="E465" s="1818"/>
      <c r="F465" s="1818"/>
      <c r="I465" s="490"/>
    </row>
    <row r="466" spans="1:9">
      <c r="D466" s="446"/>
      <c r="E466" s="446"/>
      <c r="F466" s="446"/>
      <c r="I466" s="490"/>
    </row>
    <row r="467" spans="1:9" ht="14.25">
      <c r="A467" s="484"/>
      <c r="B467" s="485" t="s">
        <v>307</v>
      </c>
      <c r="C467" s="487"/>
      <c r="D467" s="1818" t="s">
        <v>1137</v>
      </c>
      <c r="E467" s="1818"/>
      <c r="F467" s="1818"/>
      <c r="I467" s="490"/>
    </row>
    <row r="468" spans="1:9">
      <c r="D468" s="1818"/>
      <c r="E468" s="1818"/>
      <c r="F468" s="1818"/>
      <c r="I468" s="490"/>
    </row>
    <row r="469" spans="1:9">
      <c r="D469" s="1818"/>
      <c r="E469" s="1818"/>
      <c r="F469" s="1818"/>
      <c r="I469" s="490"/>
    </row>
    <row r="470" spans="1:9">
      <c r="D470" s="445"/>
      <c r="E470" s="445"/>
      <c r="F470" s="445"/>
      <c r="I470" s="490"/>
    </row>
    <row r="471" spans="1:9" ht="14.25">
      <c r="B471" s="485" t="s">
        <v>307</v>
      </c>
      <c r="C471" s="484"/>
      <c r="D471" s="1818" t="s">
        <v>1197</v>
      </c>
      <c r="E471" s="1818"/>
      <c r="F471" s="1818"/>
      <c r="I471" s="490"/>
    </row>
    <row r="472" spans="1:9">
      <c r="D472" s="1818"/>
      <c r="E472" s="1818"/>
      <c r="F472" s="1818"/>
      <c r="I472" s="490"/>
    </row>
    <row r="473" spans="1:9">
      <c r="D473" s="446"/>
      <c r="E473" s="446"/>
      <c r="F473" s="446"/>
      <c r="I473" s="490"/>
    </row>
    <row r="474" spans="1:9" ht="14.25">
      <c r="B474" s="485" t="s">
        <v>307</v>
      </c>
      <c r="C474" s="484"/>
      <c r="D474" s="1818" t="s">
        <v>1138</v>
      </c>
      <c r="E474" s="1818"/>
      <c r="F474" s="1818"/>
      <c r="I474" s="490"/>
    </row>
    <row r="475" spans="1:9">
      <c r="D475" s="1818"/>
      <c r="E475" s="1818"/>
      <c r="F475" s="1818"/>
      <c r="I475" s="490"/>
    </row>
    <row r="476" spans="1:9">
      <c r="D476" s="1818"/>
      <c r="E476" s="1818"/>
      <c r="F476" s="1818"/>
      <c r="I476" s="490"/>
    </row>
    <row r="477" spans="1:9">
      <c r="D477" s="1818"/>
      <c r="E477" s="1818"/>
      <c r="F477" s="1818"/>
      <c r="I477" s="490"/>
    </row>
    <row r="478" spans="1:9">
      <c r="B478" s="485" t="s">
        <v>307</v>
      </c>
      <c r="D478" s="1818"/>
      <c r="E478" s="1818"/>
      <c r="F478" s="1818"/>
      <c r="I478" s="490"/>
    </row>
    <row r="479" spans="1:9">
      <c r="A479" s="402"/>
      <c r="B479" s="402"/>
      <c r="C479" s="402"/>
      <c r="D479" s="1818"/>
      <c r="E479" s="1818"/>
      <c r="F479" s="1818"/>
      <c r="I479" s="490"/>
    </row>
    <row r="480" spans="1:9">
      <c r="A480" s="402"/>
      <c r="C480" s="402"/>
      <c r="D480" s="1818"/>
      <c r="E480" s="1818"/>
      <c r="F480" s="1818"/>
      <c r="I480" s="490"/>
    </row>
    <row r="481" spans="1:9">
      <c r="A481" s="402"/>
      <c r="B481" s="485" t="s">
        <v>307</v>
      </c>
      <c r="C481" s="402"/>
      <c r="D481" s="1818"/>
      <c r="E481" s="1818"/>
      <c r="F481" s="1818"/>
      <c r="I481" s="490"/>
    </row>
    <row r="482" spans="1:9">
      <c r="A482" s="402"/>
      <c r="B482" s="402"/>
      <c r="C482" s="402"/>
      <c r="D482" s="1818"/>
      <c r="E482" s="1818"/>
      <c r="F482" s="1818"/>
      <c r="I482" s="490"/>
    </row>
    <row r="483" spans="1:9">
      <c r="A483" s="402"/>
      <c r="C483" s="402"/>
      <c r="D483" s="1818"/>
      <c r="E483" s="1818"/>
      <c r="F483" s="1818"/>
      <c r="I483" s="490"/>
    </row>
    <row r="484" spans="1:9">
      <c r="A484" s="402"/>
      <c r="C484" s="402"/>
      <c r="D484" s="1818"/>
      <c r="E484" s="1818"/>
      <c r="F484" s="1818"/>
      <c r="I484" s="490"/>
    </row>
    <row r="485" spans="1:9">
      <c r="A485" s="402"/>
      <c r="C485" s="402"/>
      <c r="D485" s="1818"/>
      <c r="E485" s="1818"/>
      <c r="F485" s="1818"/>
      <c r="I485" s="490"/>
    </row>
    <row r="486" spans="1:9">
      <c r="A486" s="402"/>
      <c r="B486" s="485" t="s">
        <v>307</v>
      </c>
      <c r="C486" s="402"/>
      <c r="D486" s="1818"/>
      <c r="E486" s="1818"/>
      <c r="F486" s="1818"/>
      <c r="I486" s="490"/>
    </row>
    <row r="487" spans="1:9">
      <c r="A487" s="402"/>
      <c r="C487" s="402"/>
      <c r="D487" s="1818"/>
      <c r="E487" s="1818"/>
      <c r="F487" s="1818"/>
      <c r="I487" s="490"/>
    </row>
    <row r="488" spans="1:9">
      <c r="A488" s="402"/>
      <c r="B488" s="485" t="s">
        <v>307</v>
      </c>
      <c r="C488" s="402"/>
      <c r="D488" s="1818" t="s">
        <v>1139</v>
      </c>
      <c r="E488" s="1818"/>
      <c r="F488" s="1818"/>
      <c r="I488" s="490"/>
    </row>
    <row r="489" spans="1:9">
      <c r="A489" s="402"/>
      <c r="B489" s="402"/>
      <c r="C489" s="402"/>
      <c r="D489" s="1818"/>
      <c r="E489" s="1818"/>
      <c r="F489" s="1818"/>
      <c r="I489" s="490"/>
    </row>
    <row r="490" spans="1:9">
      <c r="A490" s="402"/>
      <c r="B490" s="402"/>
      <c r="C490" s="402"/>
      <c r="D490" s="1818"/>
      <c r="E490" s="1818"/>
      <c r="F490" s="1818"/>
      <c r="I490" s="490"/>
    </row>
    <row r="491" spans="1:9">
      <c r="A491" s="402"/>
      <c r="B491" s="402"/>
      <c r="C491" s="402"/>
      <c r="D491" s="1818"/>
      <c r="E491" s="1818"/>
      <c r="F491" s="1818"/>
      <c r="I491" s="490"/>
    </row>
    <row r="492" spans="1:9">
      <c r="D492" s="1818"/>
      <c r="E492" s="1818"/>
      <c r="F492" s="1818"/>
      <c r="I492" s="490"/>
    </row>
    <row r="493" spans="1:9">
      <c r="D493" s="446"/>
      <c r="E493" s="446"/>
      <c r="F493" s="446"/>
      <c r="I493" s="490"/>
    </row>
    <row r="494" spans="1:9">
      <c r="B494" s="485" t="s">
        <v>307</v>
      </c>
      <c r="D494" s="1819" t="s">
        <v>1140</v>
      </c>
      <c r="E494" s="1819"/>
      <c r="F494" s="1819"/>
      <c r="I494" s="490"/>
    </row>
    <row r="495" spans="1:9">
      <c r="A495" s="446"/>
      <c r="B495" s="446"/>
      <c r="I495" s="490"/>
    </row>
    <row r="496" spans="1:9">
      <c r="A496" s="1821" t="s">
        <v>1050</v>
      </c>
      <c r="B496" s="1821"/>
      <c r="C496" s="1821"/>
      <c r="D496" s="1821"/>
      <c r="E496" s="1821"/>
      <c r="F496" s="1821"/>
      <c r="G496" s="1821"/>
      <c r="H496" s="1023"/>
      <c r="I496" s="1147"/>
    </row>
    <row r="497" spans="1:9">
      <c r="A497" s="446"/>
      <c r="B497" s="446"/>
      <c r="I497" s="490"/>
    </row>
    <row r="498" spans="1:9">
      <c r="D498" s="1831" t="s">
        <v>883</v>
      </c>
      <c r="E498" s="1831"/>
      <c r="F498" s="1831"/>
      <c r="I498" s="490"/>
    </row>
    <row r="499" spans="1:9" ht="14.25">
      <c r="A499" s="484"/>
      <c r="B499" s="484"/>
      <c r="D499" s="1832" t="s">
        <v>1141</v>
      </c>
      <c r="E499" s="1832"/>
      <c r="F499" s="1832"/>
      <c r="I499" s="490"/>
    </row>
    <row r="500" spans="1:9" ht="14.25">
      <c r="A500" s="484"/>
      <c r="B500" s="484"/>
      <c r="D500" s="447"/>
      <c r="I500" s="490"/>
    </row>
    <row r="501" spans="1:9" ht="14.25">
      <c r="A501" s="484"/>
      <c r="B501" s="485" t="s">
        <v>307</v>
      </c>
      <c r="D501" s="1799" t="s">
        <v>1142</v>
      </c>
      <c r="E501" s="1799"/>
      <c r="F501" s="1799"/>
      <c r="I501" s="490"/>
    </row>
    <row r="502" spans="1:9" ht="14.25">
      <c r="A502" s="484"/>
      <c r="B502" s="484"/>
      <c r="D502" s="1799"/>
      <c r="E502" s="1799"/>
      <c r="F502" s="1799"/>
      <c r="I502" s="490"/>
    </row>
    <row r="503" spans="1:9" ht="14.25">
      <c r="A503" s="484"/>
      <c r="B503" s="484"/>
      <c r="D503" s="446"/>
      <c r="I503" s="490"/>
    </row>
    <row r="504" spans="1:9" ht="12.75" customHeight="1">
      <c r="B504" s="485" t="s">
        <v>307</v>
      </c>
      <c r="D504" s="1822" t="s">
        <v>1273</v>
      </c>
      <c r="E504" s="1822"/>
      <c r="F504" s="1822"/>
      <c r="I504" s="490"/>
    </row>
    <row r="505" spans="1:9" ht="14.25">
      <c r="A505" s="484"/>
      <c r="D505" s="1822"/>
      <c r="E505" s="1822"/>
      <c r="F505" s="1822"/>
      <c r="I505" s="490"/>
    </row>
    <row r="506" spans="1:9" ht="14.25">
      <c r="A506" s="484"/>
      <c r="B506" s="484"/>
      <c r="D506" s="1822"/>
      <c r="E506" s="1822"/>
      <c r="F506" s="1822"/>
      <c r="I506" s="490"/>
    </row>
    <row r="507" spans="1:9" ht="14.25">
      <c r="A507" s="484"/>
      <c r="B507" s="484"/>
      <c r="D507" s="1822"/>
      <c r="E507" s="1822"/>
      <c r="F507" s="1822"/>
      <c r="I507" s="490"/>
    </row>
    <row r="508" spans="1:9" ht="14.25">
      <c r="A508" s="484"/>
      <c r="D508" s="520"/>
      <c r="E508" s="520"/>
      <c r="F508" s="520"/>
      <c r="I508" s="490"/>
    </row>
    <row r="509" spans="1:9" ht="14.25">
      <c r="A509" s="484"/>
      <c r="B509" s="485" t="s">
        <v>307</v>
      </c>
      <c r="D509" s="1819" t="s">
        <v>1143</v>
      </c>
      <c r="E509" s="1819"/>
      <c r="F509" s="1819"/>
      <c r="I509" s="490"/>
    </row>
    <row r="510" spans="1:9" ht="14.25">
      <c r="A510" s="484"/>
      <c r="B510" s="484"/>
      <c r="D510" s="446"/>
      <c r="I510" s="490"/>
    </row>
    <row r="511" spans="1:9" ht="14.25">
      <c r="A511" s="484"/>
      <c r="B511" s="485" t="s">
        <v>307</v>
      </c>
      <c r="D511" s="1818" t="s">
        <v>1144</v>
      </c>
      <c r="E511" s="1818"/>
      <c r="F511" s="1818"/>
      <c r="I511" s="490"/>
    </row>
    <row r="512" spans="1:9" ht="14.25">
      <c r="A512" s="484"/>
      <c r="D512" s="1818"/>
      <c r="E512" s="1818"/>
      <c r="F512" s="1818"/>
      <c r="I512" s="490"/>
    </row>
    <row r="513" spans="1:9">
      <c r="A513" s="490"/>
      <c r="B513" s="490"/>
      <c r="D513" s="447"/>
      <c r="I513" s="490"/>
    </row>
    <row r="514" spans="1:9">
      <c r="A514" s="490"/>
      <c r="B514" s="485" t="s">
        <v>307</v>
      </c>
      <c r="D514" s="1819" t="s">
        <v>1145</v>
      </c>
      <c r="E514" s="1819"/>
      <c r="F514" s="1819"/>
      <c r="I514" s="490"/>
    </row>
    <row r="515" spans="1:9">
      <c r="D515" s="446"/>
      <c r="E515" s="446"/>
      <c r="F515" s="446"/>
      <c r="I515" s="490"/>
    </row>
    <row r="516" spans="1:9">
      <c r="B516" s="485" t="s">
        <v>307</v>
      </c>
      <c r="D516" s="1818" t="s">
        <v>2220</v>
      </c>
      <c r="E516" s="1818"/>
      <c r="F516" s="1818"/>
      <c r="I516" s="490"/>
    </row>
    <row r="517" spans="1:9">
      <c r="D517" s="1818"/>
      <c r="E517" s="1818"/>
      <c r="F517" s="1818"/>
      <c r="I517" s="490"/>
    </row>
    <row r="518" spans="1:9">
      <c r="D518" s="1818"/>
      <c r="E518" s="1818"/>
      <c r="F518" s="1818"/>
      <c r="I518" s="490"/>
    </row>
    <row r="519" spans="1:9">
      <c r="D519" s="446"/>
      <c r="E519" s="446"/>
      <c r="F519" s="446"/>
      <c r="I519" s="490"/>
    </row>
    <row r="520" spans="1:9" ht="14.25">
      <c r="A520" s="484"/>
      <c r="B520" s="484"/>
      <c r="D520" s="446"/>
      <c r="I520" s="490"/>
    </row>
    <row r="521" spans="1:9">
      <c r="A521" s="1821" t="s">
        <v>1051</v>
      </c>
      <c r="B521" s="1821"/>
      <c r="C521" s="1821"/>
      <c r="D521" s="1821"/>
      <c r="E521" s="1821"/>
      <c r="F521" s="1821"/>
      <c r="G521" s="1821"/>
      <c r="H521" s="1023"/>
      <c r="I521" s="1147"/>
    </row>
    <row r="522" spans="1:9" ht="12" customHeight="1">
      <c r="A522" s="484"/>
      <c r="B522" s="484"/>
      <c r="D522" s="446"/>
      <c r="I522" s="490"/>
    </row>
    <row r="523" spans="1:9">
      <c r="C523" s="482"/>
      <c r="D523" s="1827" t="s">
        <v>793</v>
      </c>
      <c r="E523" s="1827"/>
      <c r="F523" s="1827"/>
      <c r="I523" s="490"/>
    </row>
    <row r="524" spans="1:9">
      <c r="C524" s="482"/>
      <c r="D524" s="506" t="s">
        <v>1199</v>
      </c>
      <c r="E524" s="506"/>
      <c r="F524" s="506"/>
      <c r="I524" s="490"/>
    </row>
    <row r="525" spans="1:9">
      <c r="C525" s="482"/>
      <c r="D525" s="506" t="s">
        <v>1200</v>
      </c>
      <c r="E525" s="506"/>
      <c r="F525" s="506"/>
      <c r="I525" s="490"/>
    </row>
    <row r="526" spans="1:9">
      <c r="C526" s="482"/>
      <c r="D526" s="481"/>
      <c r="E526" s="481"/>
      <c r="F526" s="481"/>
      <c r="I526" s="490"/>
    </row>
    <row r="527" spans="1:9" ht="13.7" customHeight="1">
      <c r="A527" s="483"/>
      <c r="B527" s="485" t="s">
        <v>307</v>
      </c>
      <c r="C527" s="483"/>
      <c r="D527" s="1799" t="s">
        <v>2018</v>
      </c>
      <c r="E527" s="1799"/>
      <c r="F527" s="1799"/>
      <c r="I527" s="490"/>
    </row>
    <row r="528" spans="1:9">
      <c r="A528" s="483"/>
      <c r="B528" s="483"/>
      <c r="C528" s="483"/>
      <c r="D528" s="1799"/>
      <c r="E528" s="1799"/>
      <c r="F528" s="1799"/>
      <c r="I528" s="490"/>
    </row>
    <row r="529" spans="1:9">
      <c r="A529" s="483"/>
      <c r="B529" s="483"/>
      <c r="C529" s="483"/>
      <c r="D529" s="451"/>
      <c r="E529" s="451"/>
      <c r="F529" s="451"/>
      <c r="I529" s="480"/>
    </row>
    <row r="530" spans="1:9" ht="12.75" customHeight="1">
      <c r="A530" s="483"/>
      <c r="B530" s="485" t="s">
        <v>307</v>
      </c>
      <c r="D530" s="386" t="s">
        <v>1876</v>
      </c>
      <c r="E530" s="385"/>
      <c r="F530" s="385"/>
      <c r="I530" s="490"/>
    </row>
    <row r="531" spans="1:9">
      <c r="A531" s="483"/>
      <c r="B531" s="483"/>
      <c r="C531" s="483"/>
      <c r="D531" s="385"/>
      <c r="E531" s="96" t="s">
        <v>1877</v>
      </c>
      <c r="I531" s="490"/>
    </row>
    <row r="532" spans="1:9">
      <c r="A532" s="483"/>
      <c r="B532" s="483"/>
      <c r="D532" s="1814" t="s">
        <v>2019</v>
      </c>
      <c r="E532" s="1814"/>
      <c r="F532" s="1814"/>
      <c r="I532" s="490"/>
    </row>
    <row r="533" spans="1:9">
      <c r="A533" s="483"/>
      <c r="B533" s="483"/>
      <c r="D533" s="1814"/>
      <c r="E533" s="1814"/>
      <c r="F533" s="1814"/>
      <c r="I533" s="490"/>
    </row>
    <row r="534" spans="1:9">
      <c r="A534" s="483"/>
      <c r="B534" s="483"/>
      <c r="C534" s="483"/>
      <c r="D534" s="1814"/>
      <c r="E534" s="1814"/>
      <c r="F534" s="1814"/>
      <c r="I534" s="490"/>
    </row>
    <row r="535" spans="1:9">
      <c r="A535" s="483"/>
      <c r="B535" s="483"/>
      <c r="C535" s="483"/>
      <c r="D535" s="498"/>
      <c r="F535" s="446"/>
      <c r="I535" s="490"/>
    </row>
    <row r="536" spans="1:9" ht="13.15" customHeight="1">
      <c r="A536" s="483"/>
      <c r="B536" s="485" t="s">
        <v>307</v>
      </c>
      <c r="C536" s="483"/>
      <c r="D536" s="1818" t="s">
        <v>2631</v>
      </c>
      <c r="E536" s="1818"/>
      <c r="F536" s="1818"/>
      <c r="I536" s="490"/>
    </row>
    <row r="537" spans="1:9" ht="13.15" customHeight="1">
      <c r="A537" s="483"/>
      <c r="B537" s="483"/>
      <c r="C537" s="483"/>
      <c r="D537" s="1818"/>
      <c r="E537" s="1818"/>
      <c r="F537" s="1818"/>
      <c r="I537" s="490"/>
    </row>
    <row r="538" spans="1:9">
      <c r="A538" s="483"/>
      <c r="B538" s="483"/>
      <c r="C538" s="483"/>
      <c r="D538" s="1818"/>
      <c r="E538" s="1818"/>
      <c r="F538" s="1818"/>
      <c r="I538" s="490"/>
    </row>
    <row r="539" spans="1:9" ht="12" customHeight="1">
      <c r="A539" s="446"/>
      <c r="B539" s="446"/>
      <c r="C539" s="487"/>
      <c r="D539" s="446"/>
      <c r="F539" s="448"/>
      <c r="I539" s="490"/>
    </row>
    <row r="540" spans="1:9">
      <c r="A540" s="1821" t="s">
        <v>1052</v>
      </c>
      <c r="B540" s="1821"/>
      <c r="C540" s="1821"/>
      <c r="D540" s="1821"/>
      <c r="E540" s="1821"/>
      <c r="F540" s="1821"/>
      <c r="G540" s="1821"/>
      <c r="H540" s="1023"/>
      <c r="I540" s="1147"/>
    </row>
    <row r="541" spans="1:9">
      <c r="A541" s="446"/>
      <c r="B541" s="446"/>
      <c r="C541" s="487"/>
      <c r="F541" s="448"/>
      <c r="I541" s="490"/>
    </row>
    <row r="542" spans="1:9">
      <c r="B542" s="1825" t="s">
        <v>446</v>
      </c>
      <c r="C542" s="1825"/>
      <c r="D542" s="1825"/>
      <c r="E542" s="1825"/>
      <c r="F542" s="1825"/>
      <c r="I542" s="490"/>
    </row>
    <row r="543" spans="1:9">
      <c r="A543" s="446"/>
      <c r="B543" s="446"/>
      <c r="C543" s="487"/>
      <c r="D543" s="446"/>
      <c r="F543" s="446"/>
      <c r="I543" s="490"/>
    </row>
    <row r="544" spans="1:9">
      <c r="A544" s="1826" t="s">
        <v>1053</v>
      </c>
      <c r="B544" s="1826"/>
      <c r="C544" s="1826"/>
      <c r="D544" s="1826"/>
      <c r="E544" s="1826"/>
      <c r="F544" s="1826"/>
      <c r="G544" s="1826"/>
      <c r="H544" s="1023"/>
      <c r="I544" s="1147"/>
    </row>
    <row r="545" spans="1:9">
      <c r="A545" s="446"/>
      <c r="B545" s="446"/>
      <c r="C545" s="487"/>
      <c r="D545" s="446"/>
      <c r="F545" s="446"/>
      <c r="I545" s="490"/>
    </row>
    <row r="546" spans="1:9">
      <c r="C546" s="487"/>
      <c r="D546" s="1827" t="s">
        <v>683</v>
      </c>
      <c r="E546" s="1827"/>
      <c r="F546" s="1827"/>
      <c r="I546" s="490"/>
    </row>
    <row r="547" spans="1:9">
      <c r="C547" s="487"/>
      <c r="D547" s="1819" t="s">
        <v>1081</v>
      </c>
      <c r="E547" s="1819"/>
      <c r="F547" s="1819"/>
      <c r="I547" s="490"/>
    </row>
    <row r="548" spans="1:9">
      <c r="C548" s="487"/>
      <c r="D548" s="446"/>
      <c r="E548" s="446"/>
      <c r="F548" s="446"/>
      <c r="I548" s="490"/>
    </row>
    <row r="549" spans="1:9" ht="13.7" customHeight="1">
      <c r="A549" s="484"/>
      <c r="B549" s="485" t="s">
        <v>307</v>
      </c>
      <c r="C549" s="487"/>
      <c r="D549" s="1819" t="s">
        <v>884</v>
      </c>
      <c r="E549" s="1819"/>
      <c r="F549" s="1819"/>
      <c r="I549" s="490"/>
    </row>
    <row r="550" spans="1:9" ht="13.7" customHeight="1">
      <c r="A550" s="487"/>
      <c r="B550" s="487"/>
      <c r="C550" s="487"/>
      <c r="D550" s="446"/>
      <c r="I550" s="490"/>
    </row>
    <row r="551" spans="1:9" ht="14.25">
      <c r="A551" s="484"/>
      <c r="B551" s="485" t="s">
        <v>307</v>
      </c>
      <c r="C551" s="487"/>
      <c r="D551" s="1818" t="s">
        <v>1082</v>
      </c>
      <c r="E551" s="1818"/>
      <c r="F551" s="1818"/>
      <c r="I551" s="490"/>
    </row>
    <row r="552" spans="1:9">
      <c r="A552" s="487"/>
      <c r="B552" s="487"/>
      <c r="C552" s="487"/>
      <c r="D552" s="1818"/>
      <c r="E552" s="1818"/>
      <c r="F552" s="1818"/>
      <c r="I552" s="490"/>
    </row>
    <row r="553" spans="1:9">
      <c r="A553" s="487"/>
      <c r="B553" s="487"/>
      <c r="C553" s="487"/>
      <c r="D553" s="446"/>
      <c r="E553" s="446"/>
      <c r="F553" s="446"/>
      <c r="I553" s="490"/>
    </row>
    <row r="554" spans="1:9" ht="14.25">
      <c r="A554" s="484"/>
      <c r="B554" s="485" t="s">
        <v>307</v>
      </c>
      <c r="C554" s="487"/>
      <c r="D554" s="1818" t="s">
        <v>1083</v>
      </c>
      <c r="E554" s="1818"/>
      <c r="F554" s="1818"/>
      <c r="I554" s="490"/>
    </row>
    <row r="555" spans="1:9">
      <c r="A555" s="487"/>
      <c r="B555" s="487"/>
      <c r="C555" s="487"/>
      <c r="D555" s="1818"/>
      <c r="E555" s="1818"/>
      <c r="F555" s="1818"/>
      <c r="I555" s="490"/>
    </row>
    <row r="556" spans="1:9">
      <c r="A556" s="487"/>
      <c r="B556" s="487"/>
      <c r="C556" s="487"/>
      <c r="D556" s="446"/>
      <c r="E556" s="446"/>
      <c r="F556" s="446"/>
      <c r="I556" s="490"/>
    </row>
    <row r="557" spans="1:9" ht="14.25">
      <c r="A557" s="484"/>
      <c r="B557" s="485" t="s">
        <v>307</v>
      </c>
      <c r="C557" s="487"/>
      <c r="D557" s="1818" t="s">
        <v>1084</v>
      </c>
      <c r="E557" s="1818"/>
      <c r="F557" s="1818"/>
      <c r="I557" s="490"/>
    </row>
    <row r="558" spans="1:9">
      <c r="A558" s="487"/>
      <c r="B558" s="487"/>
      <c r="C558" s="487"/>
      <c r="D558" s="1818"/>
      <c r="E558" s="1818"/>
      <c r="F558" s="1818"/>
      <c r="I558" s="490"/>
    </row>
    <row r="559" spans="1:9">
      <c r="A559" s="487"/>
      <c r="B559" s="487"/>
      <c r="C559" s="487"/>
      <c r="D559" s="446"/>
      <c r="E559" s="446"/>
      <c r="F559" s="446"/>
      <c r="I559" s="490"/>
    </row>
    <row r="560" spans="1:9" ht="14.25">
      <c r="A560" s="484"/>
      <c r="B560" s="485" t="s">
        <v>307</v>
      </c>
      <c r="C560" s="487"/>
      <c r="D560" s="1818" t="s">
        <v>1085</v>
      </c>
      <c r="E560" s="1818"/>
      <c r="F560" s="1818"/>
      <c r="I560" s="490"/>
    </row>
    <row r="561" spans="1:9">
      <c r="A561" s="487"/>
      <c r="B561" s="487"/>
      <c r="C561" s="487"/>
      <c r="D561" s="1818"/>
      <c r="E561" s="1818"/>
      <c r="F561" s="1818"/>
      <c r="I561" s="490"/>
    </row>
    <row r="562" spans="1:9">
      <c r="A562" s="487"/>
      <c r="B562" s="487"/>
      <c r="C562" s="487"/>
      <c r="D562" s="1818"/>
      <c r="E562" s="1818"/>
      <c r="F562" s="1818"/>
      <c r="I562" s="490"/>
    </row>
    <row r="563" spans="1:9">
      <c r="A563" s="487"/>
      <c r="B563" s="487"/>
      <c r="C563" s="487"/>
      <c r="D563" s="446"/>
      <c r="E563" s="446"/>
      <c r="F563" s="446"/>
      <c r="I563" s="490"/>
    </row>
    <row r="564" spans="1:9" ht="14.25">
      <c r="A564" s="484"/>
      <c r="B564" s="485" t="s">
        <v>307</v>
      </c>
      <c r="C564" s="487"/>
      <c r="D564" s="1818" t="s">
        <v>2199</v>
      </c>
      <c r="E564" s="1818"/>
      <c r="F564" s="1818"/>
      <c r="I564" s="490"/>
    </row>
    <row r="565" spans="1:9">
      <c r="A565" s="487"/>
      <c r="B565" s="487"/>
      <c r="C565" s="487"/>
      <c r="D565" s="1818"/>
      <c r="E565" s="1818"/>
      <c r="F565" s="1818"/>
      <c r="I565" s="490"/>
    </row>
    <row r="566" spans="1:9">
      <c r="A566" s="487"/>
      <c r="B566" s="487"/>
      <c r="C566" s="487"/>
      <c r="D566" s="446"/>
      <c r="E566" s="446"/>
      <c r="F566" s="446"/>
      <c r="I566" s="490"/>
    </row>
    <row r="567" spans="1:9" ht="14.25">
      <c r="A567" s="484"/>
      <c r="B567" s="485" t="s">
        <v>307</v>
      </c>
      <c r="C567" s="487"/>
      <c r="D567" s="1818" t="s">
        <v>1086</v>
      </c>
      <c r="E567" s="1818"/>
      <c r="F567" s="1818"/>
      <c r="I567" s="490"/>
    </row>
    <row r="568" spans="1:9">
      <c r="A568" s="487"/>
      <c r="B568" s="487"/>
      <c r="C568" s="487"/>
      <c r="D568" s="1818"/>
      <c r="E568" s="1818"/>
      <c r="F568" s="1818"/>
      <c r="I568" s="490"/>
    </row>
    <row r="569" spans="1:9">
      <c r="A569" s="487"/>
      <c r="B569" s="487"/>
      <c r="C569" s="487"/>
      <c r="D569" s="446"/>
      <c r="E569" s="446"/>
      <c r="F569" s="446"/>
      <c r="I569" s="490"/>
    </row>
    <row r="570" spans="1:9" ht="14.25">
      <c r="A570" s="484"/>
      <c r="B570" s="485" t="s">
        <v>307</v>
      </c>
      <c r="C570" s="487"/>
      <c r="D570" s="1819" t="s">
        <v>1087</v>
      </c>
      <c r="E570" s="1819"/>
      <c r="F570" s="1819"/>
      <c r="I570" s="490"/>
    </row>
    <row r="571" spans="1:9">
      <c r="A571" s="490"/>
      <c r="B571" s="490"/>
      <c r="C571" s="487"/>
      <c r="D571" s="1819" t="s">
        <v>1879</v>
      </c>
      <c r="E571" s="1819"/>
      <c r="F571" s="1819"/>
      <c r="I571" s="490"/>
    </row>
    <row r="572" spans="1:9">
      <c r="A572" s="490"/>
      <c r="B572" s="490"/>
      <c r="C572" s="487"/>
      <c r="E572" s="96" t="s">
        <v>1878</v>
      </c>
      <c r="F572" s="404"/>
      <c r="I572" s="490"/>
    </row>
    <row r="573" spans="1:9" ht="14.25">
      <c r="A573" s="484"/>
      <c r="B573" s="484"/>
      <c r="C573" s="487"/>
      <c r="E573" s="446"/>
      <c r="F573" s="446"/>
      <c r="I573" s="490"/>
    </row>
    <row r="574" spans="1:9" ht="14.25">
      <c r="A574" s="484"/>
      <c r="B574" s="485" t="s">
        <v>307</v>
      </c>
      <c r="C574" s="487"/>
      <c r="D574" s="1819" t="s">
        <v>1088</v>
      </c>
      <c r="E574" s="1819"/>
      <c r="F574" s="1819"/>
      <c r="I574" s="490"/>
    </row>
    <row r="575" spans="1:9">
      <c r="C575" s="487"/>
      <c r="D575" s="1818" t="s">
        <v>1089</v>
      </c>
      <c r="E575" s="1818"/>
      <c r="F575" s="1818"/>
      <c r="I575" s="490"/>
    </row>
    <row r="576" spans="1:9">
      <c r="A576" s="487"/>
      <c r="B576" s="487"/>
      <c r="C576" s="487"/>
      <c r="D576" s="1818"/>
      <c r="E576" s="1818"/>
      <c r="F576" s="1818"/>
      <c r="I576" s="490"/>
    </row>
    <row r="577" spans="1:9">
      <c r="A577" s="487"/>
      <c r="B577" s="487"/>
      <c r="C577" s="487"/>
      <c r="D577" s="1818"/>
      <c r="E577" s="1818"/>
      <c r="F577" s="1818"/>
      <c r="I577" s="490"/>
    </row>
    <row r="578" spans="1:9">
      <c r="A578" s="487"/>
      <c r="B578" s="487"/>
      <c r="C578" s="487"/>
      <c r="D578" s="446"/>
      <c r="E578" s="446"/>
      <c r="F578" s="446"/>
      <c r="I578" s="490"/>
    </row>
    <row r="579" spans="1:9" ht="14.25">
      <c r="A579" s="484"/>
      <c r="B579" s="485" t="s">
        <v>307</v>
      </c>
      <c r="C579" s="487"/>
      <c r="D579" s="1818" t="s">
        <v>2020</v>
      </c>
      <c r="E579" s="1818"/>
      <c r="F579" s="1818"/>
      <c r="I579" s="490"/>
    </row>
    <row r="580" spans="1:9" ht="14.25">
      <c r="A580" s="484"/>
      <c r="B580" s="484"/>
      <c r="C580" s="487"/>
      <c r="D580" s="1818"/>
      <c r="E580" s="1818"/>
      <c r="F580" s="1818"/>
      <c r="I580" s="490"/>
    </row>
    <row r="581" spans="1:9" ht="14.25">
      <c r="A581" s="484"/>
      <c r="B581" s="484"/>
      <c r="C581" s="487"/>
      <c r="D581" s="1818"/>
      <c r="E581" s="1818"/>
      <c r="F581" s="1818"/>
      <c r="I581" s="490"/>
    </row>
    <row r="582" spans="1:9" ht="14.25">
      <c r="A582" s="484"/>
      <c r="B582" s="484"/>
      <c r="C582" s="487"/>
      <c r="D582" s="1818"/>
      <c r="E582" s="1818"/>
      <c r="F582" s="1818"/>
      <c r="I582" s="490"/>
    </row>
    <row r="583" spans="1:9" ht="14.25">
      <c r="A583" s="484"/>
      <c r="B583" s="484"/>
      <c r="C583" s="487"/>
      <c r="D583" s="446"/>
      <c r="E583" s="446"/>
      <c r="F583" s="446"/>
      <c r="I583" s="490"/>
    </row>
    <row r="584" spans="1:9">
      <c r="A584" s="1821" t="s">
        <v>1054</v>
      </c>
      <c r="B584" s="1821"/>
      <c r="C584" s="1821"/>
      <c r="D584" s="1821"/>
      <c r="E584" s="1821"/>
      <c r="F584" s="1821"/>
      <c r="G584" s="1821"/>
      <c r="H584" s="1023"/>
      <c r="I584" s="1147"/>
    </row>
    <row r="585" spans="1:9">
      <c r="A585" s="487"/>
      <c r="B585" s="487"/>
      <c r="C585" s="487"/>
      <c r="E585" s="446"/>
      <c r="F585" s="446"/>
      <c r="I585" s="490"/>
    </row>
    <row r="586" spans="1:9" ht="12.75" customHeight="1">
      <c r="C586" s="482"/>
      <c r="D586" s="1820" t="s">
        <v>210</v>
      </c>
      <c r="E586" s="1820"/>
      <c r="F586" s="1820"/>
      <c r="I586" s="490"/>
    </row>
    <row r="587" spans="1:9">
      <c r="A587" s="483"/>
      <c r="B587" s="483"/>
      <c r="C587" s="483"/>
      <c r="D587" s="1822" t="s">
        <v>1067</v>
      </c>
      <c r="E587" s="1822"/>
      <c r="F587" s="1822"/>
      <c r="I587" s="490"/>
    </row>
    <row r="588" spans="1:9">
      <c r="A588" s="402"/>
      <c r="B588" s="402"/>
      <c r="C588" s="483"/>
      <c r="D588" s="499"/>
      <c r="I588" s="490"/>
    </row>
    <row r="589" spans="1:9">
      <c r="A589" s="483"/>
      <c r="B589" s="485" t="s">
        <v>307</v>
      </c>
      <c r="D589" s="1822" t="s">
        <v>888</v>
      </c>
      <c r="E589" s="1822"/>
      <c r="F589" s="1822"/>
      <c r="I589" s="490"/>
    </row>
    <row r="590" spans="1:9">
      <c r="A590" s="490"/>
      <c r="B590" s="490"/>
      <c r="D590" s="476"/>
      <c r="I590" s="490"/>
    </row>
    <row r="591" spans="1:9">
      <c r="A591" s="490"/>
      <c r="B591" s="485" t="s">
        <v>307</v>
      </c>
      <c r="D591" s="1822" t="s">
        <v>2021</v>
      </c>
      <c r="E591" s="1822"/>
      <c r="F591" s="1822"/>
      <c r="I591" s="490"/>
    </row>
    <row r="592" spans="1:9">
      <c r="A592" s="490"/>
      <c r="B592" s="490"/>
      <c r="D592" s="1822"/>
      <c r="E592" s="1822"/>
      <c r="F592" s="1822"/>
      <c r="I592" s="490"/>
    </row>
    <row r="593" spans="1:9">
      <c r="A593" s="490"/>
      <c r="B593" s="490"/>
      <c r="D593" s="1822"/>
      <c r="E593" s="1822"/>
      <c r="F593" s="1822"/>
      <c r="I593" s="490"/>
    </row>
    <row r="594" spans="1:9">
      <c r="A594" s="490"/>
      <c r="B594" s="490"/>
      <c r="D594" s="1822"/>
      <c r="E594" s="1822"/>
      <c r="F594" s="1822"/>
      <c r="I594" s="490"/>
    </row>
    <row r="595" spans="1:9">
      <c r="A595" s="490"/>
      <c r="B595" s="485" t="s">
        <v>307</v>
      </c>
      <c r="D595" s="1822" t="s">
        <v>1068</v>
      </c>
      <c r="E595" s="1822"/>
      <c r="F595" s="1822"/>
      <c r="I595" s="490"/>
    </row>
    <row r="596" spans="1:9">
      <c r="A596" s="490"/>
      <c r="B596" s="490"/>
      <c r="D596" s="1822"/>
      <c r="E596" s="1822"/>
      <c r="F596" s="1822"/>
      <c r="I596" s="490"/>
    </row>
    <row r="597" spans="1:9">
      <c r="A597" s="490"/>
      <c r="B597" s="490"/>
      <c r="D597" s="1822"/>
      <c r="E597" s="1822"/>
      <c r="F597" s="1822"/>
      <c r="I597" s="490"/>
    </row>
    <row r="598" spans="1:9">
      <c r="A598" s="490"/>
      <c r="B598" s="490"/>
      <c r="D598" s="1822"/>
      <c r="E598" s="1822"/>
      <c r="F598" s="1822"/>
      <c r="I598" s="490"/>
    </row>
    <row r="599" spans="1:9">
      <c r="A599" s="490"/>
      <c r="B599" s="490"/>
      <c r="D599" s="440"/>
      <c r="E599" s="440"/>
      <c r="F599" s="440"/>
      <c r="I599" s="490"/>
    </row>
    <row r="600" spans="1:9">
      <c r="A600" s="490"/>
      <c r="B600" s="485" t="s">
        <v>307</v>
      </c>
      <c r="D600" s="1822" t="s">
        <v>2022</v>
      </c>
      <c r="E600" s="1822"/>
      <c r="F600" s="1822"/>
      <c r="I600" s="490"/>
    </row>
    <row r="601" spans="1:9">
      <c r="A601" s="490"/>
      <c r="B601" s="490"/>
      <c r="D601" s="1822"/>
      <c r="E601" s="1822"/>
      <c r="F601" s="1822"/>
      <c r="I601" s="490"/>
    </row>
    <row r="602" spans="1:9">
      <c r="A602" s="490"/>
      <c r="B602" s="490"/>
      <c r="D602" s="499"/>
      <c r="I602" s="490"/>
    </row>
    <row r="603" spans="1:9">
      <c r="A603" s="490"/>
      <c r="B603" s="485" t="s">
        <v>307</v>
      </c>
      <c r="D603" s="1822" t="s">
        <v>1069</v>
      </c>
      <c r="E603" s="1822"/>
      <c r="F603" s="1822"/>
      <c r="I603" s="490"/>
    </row>
    <row r="604" spans="1:9">
      <c r="A604" s="490"/>
      <c r="B604" s="490"/>
      <c r="D604" s="1822"/>
      <c r="E604" s="1822"/>
      <c r="F604" s="1822"/>
      <c r="I604" s="490"/>
    </row>
    <row r="605" spans="1:9" ht="14.25">
      <c r="A605" s="484"/>
      <c r="B605" s="484"/>
      <c r="D605" s="499"/>
      <c r="I605" s="490"/>
    </row>
    <row r="606" spans="1:9">
      <c r="A606" s="1821" t="s">
        <v>1055</v>
      </c>
      <c r="B606" s="1821"/>
      <c r="C606" s="1821"/>
      <c r="D606" s="1821"/>
      <c r="E606" s="1821"/>
      <c r="F606" s="1821"/>
      <c r="G606" s="1821"/>
      <c r="H606" s="1023"/>
      <c r="I606" s="1147"/>
    </row>
    <row r="607" spans="1:9">
      <c r="I607" s="490"/>
    </row>
    <row r="608" spans="1:9">
      <c r="D608" s="1827" t="s">
        <v>1107</v>
      </c>
      <c r="E608" s="1827"/>
      <c r="F608" s="1827"/>
      <c r="I608" s="490"/>
    </row>
    <row r="609" spans="1:9">
      <c r="D609" s="1828" t="s">
        <v>1108</v>
      </c>
      <c r="E609" s="1828"/>
      <c r="F609" s="1828"/>
      <c r="I609" s="490"/>
    </row>
    <row r="610" spans="1:9">
      <c r="D610" s="444"/>
      <c r="I610" s="490"/>
    </row>
    <row r="611" spans="1:9" ht="14.25" customHeight="1">
      <c r="A611" s="484"/>
      <c r="B611" s="485" t="s">
        <v>307</v>
      </c>
      <c r="D611" s="1845" t="s">
        <v>1880</v>
      </c>
      <c r="E611" s="1845"/>
      <c r="F611" s="1845"/>
      <c r="I611" s="490"/>
    </row>
    <row r="612" spans="1:9">
      <c r="D612" s="1845"/>
      <c r="E612" s="1845"/>
      <c r="F612" s="1845"/>
      <c r="I612" s="490"/>
    </row>
    <row r="613" spans="1:9">
      <c r="D613" s="385"/>
      <c r="E613" s="1031" t="s">
        <v>1881</v>
      </c>
      <c r="F613" s="385"/>
      <c r="I613" s="490"/>
    </row>
    <row r="614" spans="1:9">
      <c r="I614" s="490"/>
    </row>
    <row r="615" spans="1:9">
      <c r="A615" s="1821" t="s">
        <v>1056</v>
      </c>
      <c r="B615" s="1821"/>
      <c r="C615" s="1821"/>
      <c r="D615" s="1821"/>
      <c r="E615" s="1821"/>
      <c r="F615" s="1821"/>
      <c r="G615" s="1821"/>
      <c r="H615" s="1023"/>
      <c r="I615" s="1147"/>
    </row>
    <row r="616" spans="1:9">
      <c r="A616" s="446"/>
      <c r="B616" s="446"/>
      <c r="I616" s="490"/>
    </row>
    <row r="617" spans="1:9">
      <c r="A617" s="482"/>
      <c r="B617" s="482"/>
      <c r="C617" s="482"/>
      <c r="D617" s="1852" t="s">
        <v>1109</v>
      </c>
      <c r="E617" s="1852"/>
      <c r="F617" s="1852"/>
      <c r="I617" s="490"/>
    </row>
    <row r="618" spans="1:9">
      <c r="A618" s="482"/>
      <c r="B618" s="482"/>
      <c r="C618" s="482"/>
      <c r="D618" s="1852"/>
      <c r="E618" s="1852"/>
      <c r="F618" s="1852"/>
      <c r="I618" s="490"/>
    </row>
    <row r="619" spans="1:9">
      <c r="C619" s="483"/>
      <c r="D619" s="1828" t="s">
        <v>1110</v>
      </c>
      <c r="E619" s="1828"/>
      <c r="F619" s="1828"/>
      <c r="I619" s="490"/>
    </row>
    <row r="620" spans="1:9">
      <c r="C620" s="483"/>
      <c r="D620" s="444"/>
      <c r="E620" s="444"/>
      <c r="F620" s="444"/>
      <c r="I620" s="490"/>
    </row>
    <row r="621" spans="1:9">
      <c r="B621" s="485" t="s">
        <v>307</v>
      </c>
      <c r="C621" s="483"/>
      <c r="D621" s="1834" t="s">
        <v>2598</v>
      </c>
      <c r="E621" s="1834"/>
      <c r="F621" s="1834"/>
      <c r="I621" s="490"/>
    </row>
    <row r="622" spans="1:9">
      <c r="C622" s="483"/>
      <c r="D622" s="444"/>
      <c r="E622" s="444"/>
      <c r="F622" s="444"/>
      <c r="I622" s="490"/>
    </row>
    <row r="623" spans="1:9" ht="12.75" customHeight="1">
      <c r="A623" s="490"/>
      <c r="B623" s="485" t="s">
        <v>307</v>
      </c>
      <c r="D623" s="1829" t="s">
        <v>1111</v>
      </c>
      <c r="E623" s="1829"/>
      <c r="F623" s="1829"/>
      <c r="I623" s="490"/>
    </row>
    <row r="624" spans="1:9">
      <c r="D624" s="1829"/>
      <c r="E624" s="1829"/>
      <c r="F624" s="1829"/>
      <c r="I624" s="490"/>
    </row>
    <row r="625" spans="1:9">
      <c r="I625" s="490"/>
    </row>
    <row r="626" spans="1:9">
      <c r="B626" s="485" t="s">
        <v>307</v>
      </c>
      <c r="D626" s="1829" t="s">
        <v>1112</v>
      </c>
      <c r="E626" s="1829"/>
      <c r="F626" s="1829"/>
      <c r="I626" s="490"/>
    </row>
    <row r="627" spans="1:9">
      <c r="C627" s="500"/>
      <c r="D627" s="1829"/>
      <c r="E627" s="1829"/>
      <c r="F627" s="1829"/>
      <c r="I627" s="490"/>
    </row>
    <row r="628" spans="1:9">
      <c r="C628" s="500"/>
      <c r="I628" s="490"/>
    </row>
    <row r="629" spans="1:9">
      <c r="B629" s="485" t="s">
        <v>307</v>
      </c>
      <c r="C629" s="500"/>
      <c r="D629" s="1829" t="s">
        <v>1113</v>
      </c>
      <c r="E629" s="1829"/>
      <c r="F629" s="1829"/>
      <c r="I629" s="490"/>
    </row>
    <row r="630" spans="1:9">
      <c r="C630" s="500"/>
      <c r="D630" s="1829"/>
      <c r="E630" s="1829"/>
      <c r="F630" s="1829"/>
      <c r="I630" s="500"/>
    </row>
    <row r="631" spans="1:9">
      <c r="C631" s="500"/>
      <c r="I631" s="490"/>
    </row>
    <row r="632" spans="1:9">
      <c r="B632" s="485" t="s">
        <v>307</v>
      </c>
      <c r="C632" s="500"/>
      <c r="D632" s="1834" t="s">
        <v>2547</v>
      </c>
      <c r="E632" s="1834"/>
      <c r="F632" s="1834"/>
      <c r="I632" s="490"/>
    </row>
    <row r="633" spans="1:9">
      <c r="C633" s="500"/>
      <c r="I633" s="490"/>
    </row>
    <row r="634" spans="1:9">
      <c r="A634" s="1821" t="s">
        <v>1057</v>
      </c>
      <c r="B634" s="1821"/>
      <c r="C634" s="1821"/>
      <c r="D634" s="1821"/>
      <c r="E634" s="1821"/>
      <c r="F634" s="1821"/>
      <c r="G634" s="1821"/>
      <c r="H634" s="1023"/>
      <c r="I634" s="1147"/>
    </row>
    <row r="635" spans="1:9">
      <c r="A635" s="482"/>
      <c r="B635" s="482"/>
      <c r="C635" s="482"/>
      <c r="I635" s="490"/>
    </row>
    <row r="636" spans="1:9">
      <c r="C636" s="490"/>
      <c r="D636" s="1827" t="s">
        <v>1114</v>
      </c>
      <c r="E636" s="1827"/>
      <c r="F636" s="1827"/>
      <c r="I636" s="490"/>
    </row>
    <row r="637" spans="1:9">
      <c r="A637" s="490"/>
      <c r="B637" s="490"/>
      <c r="D637" s="404"/>
      <c r="I637" s="490"/>
    </row>
    <row r="638" spans="1:9" ht="14.25" customHeight="1">
      <c r="A638" s="484"/>
      <c r="B638" s="485" t="s">
        <v>307</v>
      </c>
      <c r="D638" s="1845" t="s">
        <v>2023</v>
      </c>
      <c r="E638" s="1845"/>
      <c r="F638" s="1845"/>
      <c r="I638" s="490"/>
    </row>
    <row r="639" spans="1:9">
      <c r="D639" s="1845"/>
      <c r="E639" s="1845"/>
      <c r="F639" s="1845"/>
      <c r="I639" s="490"/>
    </row>
    <row r="640" spans="1:9">
      <c r="D640" s="385"/>
      <c r="E640" s="1031" t="s">
        <v>1883</v>
      </c>
      <c r="F640" s="385"/>
      <c r="I640" s="490"/>
    </row>
    <row r="641" spans="1:9">
      <c r="D641" s="1818" t="s">
        <v>1882</v>
      </c>
      <c r="E641" s="1818"/>
      <c r="F641" s="1818"/>
      <c r="I641" s="490"/>
    </row>
    <row r="642" spans="1:9">
      <c r="D642" s="1818"/>
      <c r="E642" s="1818"/>
      <c r="F642" s="1818"/>
      <c r="I642" s="490"/>
    </row>
    <row r="643" spans="1:9">
      <c r="D643" s="1818"/>
      <c r="E643" s="1818"/>
      <c r="F643" s="1818"/>
      <c r="I643" s="490"/>
    </row>
    <row r="644" spans="1:9">
      <c r="D644" s="445"/>
      <c r="E644" s="445"/>
      <c r="F644" s="445"/>
      <c r="I644" s="490"/>
    </row>
    <row r="645" spans="1:9" ht="14.25">
      <c r="A645" s="484"/>
      <c r="B645" s="485" t="s">
        <v>307</v>
      </c>
      <c r="D645" s="1818" t="s">
        <v>1115</v>
      </c>
      <c r="E645" s="1818"/>
      <c r="F645" s="1818"/>
      <c r="I645" s="490"/>
    </row>
    <row r="646" spans="1:9">
      <c r="A646" s="487"/>
      <c r="B646" s="487"/>
      <c r="C646" s="487"/>
      <c r="D646" s="1818"/>
      <c r="E646" s="1818"/>
      <c r="F646" s="1818"/>
      <c r="I646" s="490"/>
    </row>
    <row r="647" spans="1:9">
      <c r="A647" s="487"/>
      <c r="B647" s="487"/>
      <c r="C647" s="487"/>
      <c r="D647" s="446"/>
      <c r="E647" s="446"/>
      <c r="F647" s="446"/>
      <c r="I647" s="490"/>
    </row>
    <row r="648" spans="1:9" ht="14.25">
      <c r="A648" s="484"/>
      <c r="B648" s="485" t="s">
        <v>307</v>
      </c>
      <c r="C648" s="487"/>
      <c r="D648" s="1818" t="s">
        <v>1225</v>
      </c>
      <c r="E648" s="1818"/>
      <c r="F648" s="1818"/>
      <c r="I648" s="490"/>
    </row>
    <row r="649" spans="1:9" ht="14.25">
      <c r="A649" s="484"/>
      <c r="B649" s="484"/>
      <c r="C649" s="487"/>
      <c r="D649" s="1818"/>
      <c r="E649" s="1818"/>
      <c r="F649" s="1818"/>
      <c r="I649" s="490"/>
    </row>
    <row r="650" spans="1:9" ht="14.25">
      <c r="A650" s="484"/>
      <c r="B650" s="484"/>
      <c r="C650" s="487"/>
      <c r="D650" s="1818"/>
      <c r="E650" s="1818"/>
      <c r="F650" s="1818"/>
      <c r="I650" s="490"/>
    </row>
    <row r="651" spans="1:9">
      <c r="A651" s="487"/>
      <c r="B651" s="485" t="s">
        <v>307</v>
      </c>
      <c r="C651" s="487"/>
      <c r="D651" s="1819" t="s">
        <v>1116</v>
      </c>
      <c r="E651" s="1819"/>
      <c r="F651" s="1819"/>
      <c r="I651" s="490"/>
    </row>
    <row r="652" spans="1:9">
      <c r="A652" s="487"/>
      <c r="B652" s="487"/>
      <c r="C652" s="487"/>
      <c r="D652" s="446"/>
      <c r="E652" s="446"/>
      <c r="F652" s="446"/>
      <c r="I652" s="490"/>
    </row>
    <row r="653" spans="1:9">
      <c r="A653" s="1821" t="s">
        <v>1058</v>
      </c>
      <c r="B653" s="1821"/>
      <c r="C653" s="1821"/>
      <c r="D653" s="1821"/>
      <c r="E653" s="1821"/>
      <c r="F653" s="1821"/>
      <c r="G653" s="1821"/>
      <c r="H653" s="1023"/>
      <c r="I653" s="1147"/>
    </row>
    <row r="654" spans="1:9">
      <c r="A654" s="446"/>
      <c r="B654" s="446"/>
      <c r="C654" s="487"/>
      <c r="D654" s="446"/>
      <c r="E654" s="446"/>
      <c r="F654" s="446"/>
      <c r="I654" s="490"/>
    </row>
    <row r="655" spans="1:9">
      <c r="C655" s="482"/>
      <c r="D655" s="1827" t="s">
        <v>1146</v>
      </c>
      <c r="E655" s="1827"/>
      <c r="F655" s="1827"/>
      <c r="I655" s="490"/>
    </row>
    <row r="656" spans="1:9">
      <c r="A656" s="483"/>
      <c r="B656" s="483"/>
      <c r="C656" s="483"/>
      <c r="D656" s="1819" t="s">
        <v>1147</v>
      </c>
      <c r="E656" s="1819"/>
      <c r="F656" s="1819"/>
      <c r="I656" s="490"/>
    </row>
    <row r="657" spans="1:9">
      <c r="A657" s="483"/>
      <c r="B657" s="483"/>
      <c r="C657" s="483"/>
      <c r="D657" s="446"/>
      <c r="E657" s="446"/>
      <c r="F657" s="446"/>
      <c r="I657" s="490"/>
    </row>
    <row r="658" spans="1:9" ht="12.75" customHeight="1">
      <c r="B658" s="485" t="s">
        <v>307</v>
      </c>
      <c r="C658" s="487"/>
      <c r="D658" s="1818" t="s">
        <v>1281</v>
      </c>
      <c r="E658" s="1818"/>
      <c r="F658" s="1818"/>
      <c r="I658" s="490"/>
    </row>
    <row r="659" spans="1:9">
      <c r="D659" s="1818"/>
      <c r="E659" s="1818"/>
      <c r="F659" s="1818"/>
      <c r="I659" s="490"/>
    </row>
    <row r="660" spans="1:9">
      <c r="D660" s="1818"/>
      <c r="E660" s="1818"/>
      <c r="F660" s="1818"/>
      <c r="I660" s="490"/>
    </row>
    <row r="661" spans="1:9">
      <c r="D661" s="1818"/>
      <c r="E661" s="1818"/>
      <c r="F661" s="1818"/>
      <c r="I661" s="490"/>
    </row>
    <row r="662" spans="1:9" ht="14.45" customHeight="1">
      <c r="A662" s="484"/>
      <c r="B662" s="484"/>
      <c r="C662" s="487"/>
      <c r="D662" s="385"/>
      <c r="E662" s="385"/>
      <c r="F662" s="385"/>
      <c r="I662" s="490"/>
    </row>
    <row r="663" spans="1:9" ht="12.75" customHeight="1">
      <c r="A663" s="483"/>
      <c r="B663" s="485" t="s">
        <v>307</v>
      </c>
      <c r="C663" s="487"/>
      <c r="D663" s="1818" t="s">
        <v>1283</v>
      </c>
      <c r="E663" s="1818"/>
      <c r="F663" s="1818"/>
      <c r="I663" s="490"/>
    </row>
    <row r="664" spans="1:9" ht="14.25">
      <c r="A664" s="483"/>
      <c r="B664" s="484"/>
      <c r="C664" s="487"/>
      <c r="D664" s="1818"/>
      <c r="E664" s="1818"/>
      <c r="F664" s="1818"/>
      <c r="I664" s="490"/>
    </row>
    <row r="665" spans="1:9" ht="14.25">
      <c r="A665" s="483"/>
      <c r="B665" s="484"/>
      <c r="C665" s="487"/>
      <c r="D665" s="1818"/>
      <c r="E665" s="1818"/>
      <c r="F665" s="1818"/>
      <c r="I665" s="490"/>
    </row>
    <row r="666" spans="1:9" ht="14.25">
      <c r="A666" s="483"/>
      <c r="B666" s="484"/>
      <c r="C666" s="487"/>
      <c r="D666" s="1818"/>
      <c r="E666" s="1818"/>
      <c r="F666" s="1818"/>
      <c r="I666" s="490"/>
    </row>
    <row r="667" spans="1:9" ht="14.25">
      <c r="A667" s="483"/>
      <c r="B667" s="484"/>
      <c r="C667" s="487"/>
      <c r="D667" s="1818"/>
      <c r="E667" s="1818"/>
      <c r="F667" s="1818"/>
      <c r="I667" s="490"/>
    </row>
    <row r="668" spans="1:9" ht="14.25" customHeight="1">
      <c r="A668" s="483"/>
      <c r="B668" s="484"/>
      <c r="C668" s="487"/>
      <c r="F668" s="386"/>
      <c r="I668" s="490"/>
    </row>
    <row r="669" spans="1:9" ht="12.75" customHeight="1">
      <c r="A669" s="483"/>
      <c r="B669" s="485" t="s">
        <v>307</v>
      </c>
      <c r="C669" s="487"/>
      <c r="D669" s="1818" t="s">
        <v>1282</v>
      </c>
      <c r="E669" s="1818"/>
      <c r="F669" s="1818"/>
      <c r="I669" s="490"/>
    </row>
    <row r="670" spans="1:9" ht="14.25">
      <c r="A670" s="483"/>
      <c r="B670" s="484"/>
      <c r="C670" s="487"/>
      <c r="D670" s="1818"/>
      <c r="E670" s="1818"/>
      <c r="F670" s="1818"/>
      <c r="I670" s="490"/>
    </row>
    <row r="671" spans="1:9" ht="14.25">
      <c r="A671" s="484"/>
      <c r="B671" s="484"/>
      <c r="C671" s="487"/>
      <c r="D671" s="1818"/>
      <c r="E671" s="1818"/>
      <c r="F671" s="1818"/>
      <c r="I671" s="490"/>
    </row>
    <row r="672" spans="1:9" ht="14.25">
      <c r="A672" s="484"/>
      <c r="B672" s="484"/>
      <c r="C672" s="487"/>
      <c r="D672" s="1818"/>
      <c r="E672" s="1818"/>
      <c r="F672" s="1818"/>
      <c r="I672" s="490"/>
    </row>
    <row r="673" spans="1:11" ht="14.25">
      <c r="A673" s="484"/>
      <c r="B673" s="484"/>
      <c r="C673" s="487"/>
      <c r="D673" s="445"/>
      <c r="E673" s="445"/>
      <c r="F673" s="445"/>
      <c r="I673" s="490"/>
    </row>
    <row r="674" spans="1:11" ht="12.75" customHeight="1">
      <c r="A674" s="483"/>
      <c r="B674" s="485" t="s">
        <v>307</v>
      </c>
      <c r="C674" s="487"/>
      <c r="D674" s="1818" t="s">
        <v>2024</v>
      </c>
      <c r="E674" s="1818"/>
      <c r="F674" s="1818"/>
      <c r="I674" s="490"/>
    </row>
    <row r="675" spans="1:11" ht="12.75" customHeight="1">
      <c r="A675" s="483"/>
      <c r="B675" s="484"/>
      <c r="C675" s="487"/>
      <c r="D675" s="1818"/>
      <c r="E675" s="1818"/>
      <c r="F675" s="1818"/>
      <c r="I675" s="490"/>
    </row>
    <row r="676" spans="1:11" ht="12.75" customHeight="1">
      <c r="A676" s="483"/>
      <c r="B676" s="484"/>
      <c r="C676" s="487"/>
      <c r="D676" s="1818"/>
      <c r="E676" s="1818"/>
      <c r="F676" s="1818"/>
      <c r="I676" s="490"/>
    </row>
    <row r="677" spans="1:11" ht="12.75" customHeight="1">
      <c r="A677" s="483"/>
      <c r="B677" s="484"/>
      <c r="C677" s="487"/>
      <c r="D677" s="1818"/>
      <c r="E677" s="1818"/>
      <c r="F677" s="1818"/>
      <c r="I677" s="490"/>
    </row>
    <row r="678" spans="1:11" ht="12.75" customHeight="1">
      <c r="A678" s="483"/>
      <c r="B678" s="484"/>
      <c r="C678" s="487"/>
      <c r="D678" s="1818"/>
      <c r="E678" s="1818"/>
      <c r="F678" s="1818"/>
      <c r="I678" s="490"/>
    </row>
    <row r="679" spans="1:11" ht="12.75" customHeight="1">
      <c r="A679" s="483"/>
      <c r="B679" s="484"/>
      <c r="C679" s="487"/>
      <c r="D679" s="1818"/>
      <c r="E679" s="1818"/>
      <c r="F679" s="1818"/>
      <c r="I679" s="490"/>
    </row>
    <row r="680" spans="1:11" ht="12.75" customHeight="1">
      <c r="A680" s="483"/>
      <c r="B680" s="484"/>
      <c r="C680" s="487"/>
      <c r="D680" s="1818"/>
      <c r="E680" s="1818"/>
      <c r="F680" s="1818"/>
      <c r="I680" s="490"/>
    </row>
    <row r="681" spans="1:11" ht="12.75" customHeight="1">
      <c r="A681" s="483"/>
      <c r="B681" s="484"/>
      <c r="C681" s="487"/>
      <c r="D681" s="1818"/>
      <c r="E681" s="1818"/>
      <c r="F681" s="1818"/>
      <c r="I681" s="490"/>
    </row>
    <row r="682" spans="1:11" ht="12.75" customHeight="1">
      <c r="A682" s="483"/>
      <c r="B682" s="484"/>
      <c r="C682" s="487"/>
      <c r="D682" s="1818"/>
      <c r="E682" s="1818"/>
      <c r="F682" s="1818"/>
      <c r="I682" s="490"/>
    </row>
    <row r="683" spans="1:11">
      <c r="A683" s="487"/>
      <c r="B683" s="487"/>
      <c r="C683" s="487"/>
      <c r="D683" s="446"/>
      <c r="E683" s="446"/>
      <c r="F683" s="446"/>
      <c r="I683" s="490"/>
    </row>
    <row r="684" spans="1:11">
      <c r="A684" s="1821" t="s">
        <v>1059</v>
      </c>
      <c r="B684" s="1821"/>
      <c r="C684" s="1821"/>
      <c r="D684" s="1821"/>
      <c r="E684" s="1821"/>
      <c r="F684" s="1821"/>
      <c r="G684" s="1821"/>
      <c r="H684" s="1025"/>
      <c r="I684" s="1151"/>
      <c r="J684" s="501"/>
      <c r="K684" s="501"/>
    </row>
    <row r="685" spans="1:11">
      <c r="A685" s="448"/>
      <c r="B685" s="448"/>
      <c r="C685" s="448"/>
      <c r="D685" s="448"/>
      <c r="E685" s="448"/>
      <c r="F685" s="448"/>
      <c r="G685" s="448"/>
      <c r="H685" s="501"/>
      <c r="I685" s="483"/>
      <c r="J685" s="501"/>
      <c r="K685" s="501"/>
    </row>
    <row r="686" spans="1:11">
      <c r="C686" s="482"/>
      <c r="D686" s="1827" t="s">
        <v>99</v>
      </c>
      <c r="E686" s="1827"/>
      <c r="F686" s="1827"/>
      <c r="H686" s="501"/>
      <c r="I686" s="483"/>
      <c r="J686" s="501"/>
      <c r="K686" s="501"/>
    </row>
    <row r="687" spans="1:11">
      <c r="A687" s="482"/>
      <c r="B687" s="482"/>
      <c r="C687" s="482"/>
      <c r="D687" s="1827" t="s">
        <v>123</v>
      </c>
      <c r="E687" s="1827"/>
      <c r="F687" s="1827"/>
      <c r="H687" s="501"/>
      <c r="I687" s="483"/>
      <c r="J687" s="501"/>
      <c r="K687" s="501"/>
    </row>
    <row r="688" spans="1:11">
      <c r="A688" s="483"/>
      <c r="B688" s="483"/>
      <c r="C688" s="483"/>
      <c r="D688" s="1819" t="s">
        <v>1076</v>
      </c>
      <c r="E688" s="1819"/>
      <c r="F688" s="1819"/>
      <c r="H688" s="501"/>
      <c r="I688" s="483"/>
      <c r="J688" s="501"/>
      <c r="K688" s="501"/>
    </row>
    <row r="689" spans="1:11">
      <c r="A689" s="483"/>
      <c r="B689" s="483"/>
      <c r="C689" s="483"/>
      <c r="H689" s="501"/>
      <c r="I689" s="483"/>
      <c r="J689" s="501"/>
      <c r="K689" s="501"/>
    </row>
    <row r="690" spans="1:11" ht="14.25">
      <c r="A690" s="484"/>
      <c r="B690" s="485" t="s">
        <v>307</v>
      </c>
      <c r="C690" s="483"/>
      <c r="D690" s="1819" t="s">
        <v>885</v>
      </c>
      <c r="E690" s="1819"/>
      <c r="F690" s="1819"/>
      <c r="H690" s="501"/>
      <c r="I690" s="483"/>
      <c r="J690" s="501"/>
      <c r="K690" s="501"/>
    </row>
    <row r="691" spans="1:11">
      <c r="A691" s="483"/>
      <c r="B691" s="483"/>
      <c r="C691" s="483"/>
      <c r="D691" s="1819" t="s">
        <v>894</v>
      </c>
      <c r="E691" s="1819"/>
      <c r="F691" s="1819"/>
      <c r="H691" s="501"/>
      <c r="I691" s="483"/>
      <c r="J691" s="501"/>
      <c r="K691" s="501"/>
    </row>
    <row r="692" spans="1:11" ht="12.75" customHeight="1">
      <c r="A692" s="483"/>
      <c r="B692" s="483"/>
      <c r="C692" s="483"/>
      <c r="E692" s="1031" t="s">
        <v>1885</v>
      </c>
      <c r="F692" s="420"/>
      <c r="H692" s="501"/>
      <c r="I692" s="483"/>
      <c r="J692" s="501"/>
      <c r="K692" s="501"/>
    </row>
    <row r="693" spans="1:11">
      <c r="A693" s="483"/>
      <c r="B693" s="483"/>
      <c r="C693" s="483"/>
      <c r="E693" s="501" t="s">
        <v>1884</v>
      </c>
      <c r="F693" s="420"/>
      <c r="I693" s="483"/>
      <c r="J693" s="501"/>
      <c r="K693" s="501"/>
    </row>
    <row r="694" spans="1:11">
      <c r="A694" s="483"/>
      <c r="B694" s="483"/>
      <c r="C694" s="483"/>
      <c r="D694" s="502"/>
      <c r="E694" s="446"/>
      <c r="H694" s="501"/>
      <c r="I694" s="483"/>
      <c r="J694" s="501"/>
      <c r="K694" s="501"/>
    </row>
    <row r="695" spans="1:11" ht="14.25">
      <c r="A695" s="484"/>
      <c r="B695" s="485" t="s">
        <v>307</v>
      </c>
      <c r="C695" s="483"/>
      <c r="D695" s="1818" t="s">
        <v>2025</v>
      </c>
      <c r="E695" s="1818"/>
      <c r="F695" s="1818"/>
      <c r="H695" s="501"/>
      <c r="I695" s="483"/>
      <c r="J695" s="501"/>
      <c r="K695" s="501"/>
    </row>
    <row r="696" spans="1:11">
      <c r="A696" s="490"/>
      <c r="B696" s="490"/>
      <c r="C696" s="483"/>
      <c r="D696" s="1818"/>
      <c r="E696" s="1818"/>
      <c r="F696" s="1818"/>
      <c r="H696" s="501"/>
      <c r="I696" s="483"/>
      <c r="J696" s="501"/>
      <c r="K696" s="501"/>
    </row>
    <row r="697" spans="1:11">
      <c r="A697" s="483"/>
      <c r="B697" s="483"/>
      <c r="C697" s="483"/>
      <c r="D697" s="1818"/>
      <c r="E697" s="1818"/>
      <c r="F697" s="1818"/>
      <c r="H697" s="501"/>
      <c r="I697" s="483"/>
      <c r="J697" s="501"/>
      <c r="K697" s="501"/>
    </row>
    <row r="698" spans="1:11">
      <c r="A698" s="483"/>
      <c r="B698" s="483"/>
      <c r="C698" s="483"/>
      <c r="H698" s="501"/>
      <c r="J698" s="501"/>
      <c r="K698" s="501"/>
    </row>
    <row r="699" spans="1:11" ht="14.25">
      <c r="A699" s="484"/>
      <c r="B699" s="485" t="s">
        <v>307</v>
      </c>
      <c r="C699" s="483"/>
      <c r="D699" s="1819" t="s">
        <v>917</v>
      </c>
      <c r="E699" s="1819"/>
      <c r="F699" s="1819"/>
      <c r="H699" s="501"/>
      <c r="I699" s="483"/>
      <c r="J699" s="501"/>
      <c r="K699" s="501"/>
    </row>
    <row r="700" spans="1:11" ht="14.25">
      <c r="A700" s="484"/>
      <c r="B700" s="484"/>
      <c r="C700" s="483"/>
      <c r="D700" s="1819" t="s">
        <v>894</v>
      </c>
      <c r="E700" s="1819"/>
      <c r="F700" s="1819"/>
      <c r="H700" s="501"/>
      <c r="I700" s="483"/>
      <c r="J700" s="501"/>
      <c r="K700" s="501"/>
    </row>
    <row r="701" spans="1:11">
      <c r="A701" s="483"/>
      <c r="B701" s="483"/>
      <c r="C701" s="483"/>
      <c r="E701" s="1031" t="s">
        <v>1886</v>
      </c>
      <c r="F701" s="404"/>
      <c r="H701" s="501"/>
      <c r="I701" s="483"/>
      <c r="J701" s="501"/>
      <c r="K701" s="501"/>
    </row>
    <row r="702" spans="1:11">
      <c r="A702" s="483"/>
      <c r="B702" s="483"/>
      <c r="C702" s="483"/>
      <c r="D702" s="404"/>
      <c r="H702" s="501"/>
      <c r="I702" s="483"/>
      <c r="J702" s="501"/>
      <c r="K702" s="501"/>
    </row>
    <row r="703" spans="1:11" ht="14.25">
      <c r="A703" s="484"/>
      <c r="B703" s="485" t="s">
        <v>307</v>
      </c>
      <c r="C703" s="483"/>
      <c r="D703" s="1819" t="s">
        <v>2398</v>
      </c>
      <c r="E703" s="1819"/>
      <c r="F703" s="1819"/>
      <c r="H703" s="501"/>
      <c r="I703" s="483"/>
      <c r="J703" s="501"/>
      <c r="K703" s="501"/>
    </row>
    <row r="704" spans="1:11" ht="14.25">
      <c r="A704" s="484"/>
      <c r="B704" s="484"/>
      <c r="C704" s="483"/>
      <c r="D704" s="1819" t="s">
        <v>894</v>
      </c>
      <c r="E704" s="1819"/>
      <c r="F704" s="1819"/>
      <c r="H704" s="501"/>
      <c r="I704" s="483"/>
      <c r="J704" s="501"/>
      <c r="K704" s="501"/>
    </row>
    <row r="705" spans="1:11">
      <c r="A705" s="483"/>
      <c r="B705" s="483"/>
      <c r="C705" s="483"/>
      <c r="E705" s="1031" t="s">
        <v>2399</v>
      </c>
      <c r="F705" s="404"/>
      <c r="H705" s="501"/>
      <c r="I705" s="483"/>
      <c r="J705" s="501"/>
      <c r="K705" s="501"/>
    </row>
    <row r="706" spans="1:11">
      <c r="A706" s="483"/>
      <c r="B706" s="483"/>
      <c r="C706" s="483"/>
      <c r="D706" s="404"/>
      <c r="H706" s="501"/>
      <c r="I706" s="483"/>
      <c r="J706" s="501"/>
      <c r="K706" s="501"/>
    </row>
    <row r="707" spans="1:11" ht="14.25">
      <c r="A707" s="484"/>
      <c r="B707" s="485" t="s">
        <v>307</v>
      </c>
      <c r="C707" s="483"/>
      <c r="D707" s="1818" t="s">
        <v>2196</v>
      </c>
      <c r="E707" s="1818"/>
      <c r="F707" s="1818"/>
      <c r="H707" s="501"/>
      <c r="I707" s="483"/>
      <c r="J707" s="501"/>
      <c r="K707" s="501"/>
    </row>
    <row r="708" spans="1:11">
      <c r="A708" s="483"/>
      <c r="B708" s="483"/>
      <c r="C708" s="483"/>
      <c r="D708" s="1818"/>
      <c r="E708" s="1818"/>
      <c r="F708" s="1818"/>
      <c r="H708" s="501"/>
      <c r="I708" s="483"/>
      <c r="J708" s="501"/>
      <c r="K708" s="501"/>
    </row>
    <row r="709" spans="1:11">
      <c r="A709" s="483"/>
      <c r="B709" s="483"/>
      <c r="C709" s="483"/>
      <c r="D709" s="1818"/>
      <c r="E709" s="1818"/>
      <c r="F709" s="1818"/>
      <c r="H709" s="501"/>
      <c r="I709" s="483"/>
      <c r="J709" s="501"/>
      <c r="K709" s="501"/>
    </row>
    <row r="710" spans="1:11">
      <c r="A710" s="483"/>
      <c r="B710" s="483"/>
      <c r="C710" s="483"/>
      <c r="D710" s="1818"/>
      <c r="E710" s="1818"/>
      <c r="F710" s="1818"/>
      <c r="H710" s="501"/>
      <c r="I710" s="483"/>
      <c r="J710" s="501"/>
      <c r="K710" s="501"/>
    </row>
    <row r="711" spans="1:11">
      <c r="A711" s="483"/>
      <c r="B711" s="483"/>
      <c r="C711" s="483"/>
      <c r="D711" s="1818"/>
      <c r="E711" s="1818"/>
      <c r="F711" s="1818"/>
      <c r="H711" s="501"/>
      <c r="I711" s="483"/>
      <c r="J711" s="501"/>
      <c r="K711" s="501"/>
    </row>
    <row r="712" spans="1:11">
      <c r="A712" s="483"/>
      <c r="B712" s="483"/>
      <c r="C712" s="483"/>
      <c r="D712" s="1818"/>
      <c r="E712" s="1818"/>
      <c r="F712" s="1818"/>
      <c r="H712" s="501"/>
      <c r="I712" s="483"/>
      <c r="J712" s="501"/>
      <c r="K712" s="501"/>
    </row>
    <row r="713" spans="1:11">
      <c r="A713" s="483"/>
      <c r="B713" s="483"/>
      <c r="C713" s="483"/>
      <c r="D713" s="445"/>
      <c r="E713" s="445"/>
      <c r="F713" s="445"/>
      <c r="H713" s="501"/>
      <c r="I713" s="483"/>
      <c r="J713" s="501"/>
      <c r="K713" s="501"/>
    </row>
    <row r="714" spans="1:11">
      <c r="A714" s="483"/>
      <c r="B714" s="485" t="s">
        <v>307</v>
      </c>
      <c r="C714" s="483"/>
      <c r="D714" s="1818" t="s">
        <v>1201</v>
      </c>
      <c r="E714" s="1818"/>
      <c r="F714" s="1818"/>
      <c r="H714" s="501"/>
      <c r="I714" s="483"/>
      <c r="J714" s="501"/>
      <c r="K714" s="501"/>
    </row>
    <row r="715" spans="1:11">
      <c r="A715" s="483"/>
      <c r="B715" s="483"/>
      <c r="C715" s="483"/>
      <c r="D715" s="1818"/>
      <c r="E715" s="1818"/>
      <c r="F715" s="1818"/>
      <c r="H715" s="501"/>
      <c r="I715" s="483"/>
      <c r="J715" s="501"/>
      <c r="K715" s="501"/>
    </row>
    <row r="716" spans="1:11">
      <c r="A716" s="483"/>
      <c r="B716" s="483"/>
      <c r="C716" s="483"/>
      <c r="D716" s="445"/>
      <c r="E716" s="445"/>
      <c r="F716" s="445"/>
      <c r="H716" s="501"/>
      <c r="I716" s="483"/>
      <c r="J716" s="501"/>
      <c r="K716" s="501"/>
    </row>
    <row r="717" spans="1:11" ht="14.25">
      <c r="A717" s="484"/>
      <c r="B717" s="485" t="s">
        <v>307</v>
      </c>
      <c r="C717" s="483"/>
      <c r="D717" s="1818" t="s">
        <v>1077</v>
      </c>
      <c r="E717" s="1818"/>
      <c r="F717" s="1818"/>
      <c r="H717" s="501"/>
      <c r="I717" s="483"/>
      <c r="J717" s="501"/>
      <c r="K717" s="501"/>
    </row>
    <row r="718" spans="1:11">
      <c r="A718" s="483"/>
      <c r="B718" s="483"/>
      <c r="C718" s="483"/>
      <c r="D718" s="1818"/>
      <c r="E718" s="1818"/>
      <c r="F718" s="1818"/>
      <c r="H718" s="501"/>
      <c r="I718" s="483"/>
      <c r="J718" s="501"/>
      <c r="K718" s="501"/>
    </row>
    <row r="719" spans="1:11">
      <c r="A719" s="483"/>
      <c r="B719" s="483"/>
      <c r="C719" s="483"/>
      <c r="D719" s="1818"/>
      <c r="E719" s="1818"/>
      <c r="F719" s="1818"/>
      <c r="H719" s="501"/>
      <c r="I719" s="483"/>
      <c r="J719" s="501"/>
      <c r="K719" s="501"/>
    </row>
    <row r="720" spans="1:11" ht="15" customHeight="1">
      <c r="A720" s="483"/>
      <c r="B720" s="483"/>
      <c r="C720" s="483"/>
      <c r="D720" s="1818"/>
      <c r="E720" s="1818"/>
      <c r="F720" s="1818"/>
      <c r="H720" s="501"/>
      <c r="I720" s="483"/>
      <c r="J720" s="501"/>
      <c r="K720" s="501"/>
    </row>
    <row r="721" spans="1:11" ht="15" customHeight="1">
      <c r="A721" s="483"/>
      <c r="B721" s="483"/>
      <c r="C721" s="483"/>
      <c r="D721" s="1818"/>
      <c r="E721" s="1818"/>
      <c r="F721" s="1818"/>
      <c r="H721" s="501"/>
      <c r="I721" s="483"/>
      <c r="J721" s="501"/>
      <c r="K721" s="501"/>
    </row>
    <row r="722" spans="1:11">
      <c r="A722" s="483"/>
      <c r="B722" s="483"/>
      <c r="C722" s="483"/>
      <c r="D722" s="1818"/>
      <c r="E722" s="1818"/>
      <c r="F722" s="1818"/>
      <c r="H722" s="501"/>
      <c r="I722" s="483"/>
      <c r="J722" s="501"/>
      <c r="K722" s="501"/>
    </row>
    <row r="723" spans="1:11">
      <c r="A723" s="483"/>
      <c r="B723" s="483"/>
      <c r="C723" s="483"/>
      <c r="D723" s="1818"/>
      <c r="E723" s="1818"/>
      <c r="F723" s="1818"/>
      <c r="H723" s="501"/>
      <c r="I723" s="483"/>
      <c r="J723" s="501"/>
      <c r="K723" s="501"/>
    </row>
    <row r="724" spans="1:11">
      <c r="A724" s="483"/>
      <c r="B724" s="483"/>
      <c r="C724" s="483"/>
      <c r="D724" s="1818"/>
      <c r="E724" s="1818"/>
      <c r="F724" s="1818"/>
      <c r="H724" s="501"/>
      <c r="I724" s="483"/>
      <c r="J724" s="501"/>
      <c r="K724" s="501"/>
    </row>
    <row r="725" spans="1:11" ht="15" customHeight="1">
      <c r="A725" s="483"/>
      <c r="B725" s="483"/>
      <c r="C725" s="483"/>
      <c r="D725" s="1818"/>
      <c r="E725" s="1818"/>
      <c r="F725" s="1818"/>
      <c r="H725" s="501"/>
      <c r="I725" s="483"/>
      <c r="J725" s="501"/>
      <c r="K725" s="501"/>
    </row>
    <row r="726" spans="1:11">
      <c r="A726" s="483"/>
      <c r="B726" s="483"/>
      <c r="C726" s="483"/>
      <c r="D726" s="1818"/>
      <c r="E726" s="1818"/>
      <c r="F726" s="1818"/>
      <c r="H726" s="501"/>
      <c r="I726" s="483"/>
      <c r="J726" s="501"/>
      <c r="K726" s="501"/>
    </row>
    <row r="727" spans="1:11">
      <c r="A727" s="483"/>
      <c r="B727" s="483"/>
      <c r="C727" s="483"/>
      <c r="D727" s="1818"/>
      <c r="E727" s="1818"/>
      <c r="F727" s="1818"/>
      <c r="H727" s="501"/>
      <c r="I727" s="483"/>
      <c r="J727" s="501"/>
      <c r="K727" s="501"/>
    </row>
    <row r="728" spans="1:11">
      <c r="A728" s="483"/>
      <c r="B728" s="483"/>
      <c r="C728" s="483"/>
      <c r="D728" s="1818"/>
      <c r="E728" s="1818"/>
      <c r="F728" s="1818"/>
      <c r="H728" s="501"/>
      <c r="I728" s="483"/>
      <c r="J728" s="501"/>
      <c r="K728" s="501"/>
    </row>
    <row r="729" spans="1:11">
      <c r="A729" s="483"/>
      <c r="B729" s="483"/>
      <c r="C729" s="483"/>
      <c r="D729" s="1818"/>
      <c r="E729" s="1818"/>
      <c r="F729" s="1818"/>
      <c r="H729" s="501"/>
      <c r="I729" s="483"/>
      <c r="J729" s="501"/>
      <c r="K729" s="501"/>
    </row>
    <row r="730" spans="1:11">
      <c r="A730" s="483"/>
      <c r="B730" s="485" t="s">
        <v>307</v>
      </c>
      <c r="C730" s="483"/>
      <c r="D730" s="1818" t="s">
        <v>2391</v>
      </c>
      <c r="E730" s="1818"/>
      <c r="F730" s="1818"/>
      <c r="H730" s="501"/>
      <c r="I730" s="483"/>
      <c r="J730" s="501"/>
      <c r="K730" s="501"/>
    </row>
    <row r="731" spans="1:11">
      <c r="A731" s="483"/>
      <c r="B731" s="483"/>
      <c r="C731" s="483"/>
      <c r="D731" s="1818"/>
      <c r="E731" s="1818"/>
      <c r="F731" s="1818"/>
      <c r="H731" s="501"/>
      <c r="I731" s="483"/>
      <c r="J731" s="501"/>
      <c r="K731" s="501"/>
    </row>
    <row r="732" spans="1:11">
      <c r="A732" s="483"/>
      <c r="B732" s="483"/>
      <c r="C732" s="483"/>
      <c r="D732" s="1818"/>
      <c r="E732" s="1818"/>
      <c r="F732" s="1818"/>
      <c r="H732" s="501"/>
      <c r="I732" s="483"/>
      <c r="J732" s="501"/>
      <c r="K732" s="501"/>
    </row>
    <row r="733" spans="1:11">
      <c r="A733" s="483"/>
      <c r="B733" s="483"/>
      <c r="C733" s="483"/>
      <c r="D733" s="445"/>
      <c r="E733" s="445"/>
      <c r="F733" s="445"/>
      <c r="H733" s="501"/>
      <c r="I733" s="483"/>
      <c r="J733" s="501"/>
      <c r="K733" s="501"/>
    </row>
    <row r="734" spans="1:11">
      <c r="A734" s="483"/>
      <c r="B734" s="485" t="s">
        <v>307</v>
      </c>
      <c r="C734" s="483"/>
      <c r="D734" s="1818" t="s">
        <v>2390</v>
      </c>
      <c r="E734" s="1818"/>
      <c r="F734" s="1818"/>
      <c r="H734" s="501"/>
      <c r="I734" s="483"/>
      <c r="J734" s="501"/>
      <c r="K734" s="501"/>
    </row>
    <row r="735" spans="1:11">
      <c r="A735" s="483"/>
      <c r="B735" s="483"/>
      <c r="C735" s="483"/>
      <c r="D735" s="1818"/>
      <c r="E735" s="1818"/>
      <c r="F735" s="1818"/>
      <c r="H735" s="501"/>
      <c r="I735" s="483"/>
      <c r="J735" s="501"/>
      <c r="K735" s="501"/>
    </row>
    <row r="736" spans="1:11">
      <c r="A736" s="483"/>
      <c r="B736" s="483"/>
      <c r="C736" s="483"/>
      <c r="D736" s="1818"/>
      <c r="E736" s="1818"/>
      <c r="F736" s="1818"/>
      <c r="H736" s="501"/>
      <c r="I736" s="483"/>
      <c r="J736" s="501"/>
      <c r="K736" s="501"/>
    </row>
    <row r="737" spans="1:11">
      <c r="A737" s="483"/>
      <c r="B737" s="483"/>
      <c r="C737" s="483"/>
      <c r="H737" s="501"/>
      <c r="I737" s="483"/>
      <c r="J737" s="501"/>
      <c r="K737" s="501"/>
    </row>
    <row r="738" spans="1:11">
      <c r="A738" s="483"/>
      <c r="B738" s="485" t="s">
        <v>307</v>
      </c>
      <c r="C738" s="483"/>
      <c r="D738" s="1818" t="s">
        <v>2389</v>
      </c>
      <c r="E738" s="1818"/>
      <c r="F738" s="1818"/>
      <c r="H738" s="501"/>
      <c r="I738" s="483"/>
      <c r="J738" s="501"/>
      <c r="K738" s="501"/>
    </row>
    <row r="739" spans="1:11">
      <c r="A739" s="483"/>
      <c r="B739" s="483"/>
      <c r="C739" s="483"/>
      <c r="D739" s="1818"/>
      <c r="E739" s="1818"/>
      <c r="F739" s="1818"/>
      <c r="H739" s="501"/>
      <c r="I739" s="483"/>
      <c r="J739" s="501"/>
      <c r="K739" s="501"/>
    </row>
    <row r="740" spans="1:11">
      <c r="A740" s="483"/>
      <c r="B740" s="483"/>
      <c r="C740" s="483"/>
      <c r="D740" s="1818"/>
      <c r="E740" s="1818"/>
      <c r="F740" s="1818"/>
      <c r="H740" s="501"/>
      <c r="I740" s="483"/>
      <c r="J740" s="501"/>
      <c r="K740" s="501"/>
    </row>
    <row r="741" spans="1:11">
      <c r="A741" s="483"/>
      <c r="B741" s="483"/>
      <c r="C741" s="483"/>
      <c r="D741" s="1818"/>
      <c r="E741" s="1818"/>
      <c r="F741" s="1818"/>
      <c r="H741" s="501"/>
      <c r="I741" s="483"/>
      <c r="J741" s="501"/>
      <c r="K741" s="501"/>
    </row>
    <row r="742" spans="1:11">
      <c r="A742" s="483"/>
      <c r="B742" s="483"/>
      <c r="C742" s="483"/>
      <c r="H742" s="501"/>
      <c r="I742" s="483"/>
      <c r="J742" s="501"/>
      <c r="K742" s="501"/>
    </row>
    <row r="743" spans="1:11" ht="14.25">
      <c r="A743" s="484"/>
      <c r="B743" s="485" t="s">
        <v>307</v>
      </c>
      <c r="C743" s="483"/>
      <c r="D743" s="1818" t="s">
        <v>1078</v>
      </c>
      <c r="E743" s="1818"/>
      <c r="F743" s="1818"/>
      <c r="H743" s="501"/>
      <c r="I743" s="483"/>
      <c r="J743" s="501"/>
      <c r="K743" s="501"/>
    </row>
    <row r="744" spans="1:11">
      <c r="A744" s="483"/>
      <c r="B744" s="483"/>
      <c r="C744" s="483"/>
      <c r="D744" s="1818"/>
      <c r="E744" s="1818"/>
      <c r="F744" s="1818"/>
      <c r="H744" s="501"/>
      <c r="I744" s="483"/>
      <c r="J744" s="501"/>
      <c r="K744" s="501"/>
    </row>
    <row r="745" spans="1:11">
      <c r="A745" s="483"/>
      <c r="B745" s="483"/>
      <c r="C745" s="483"/>
      <c r="D745" s="1818"/>
      <c r="E745" s="1818"/>
      <c r="F745" s="1818"/>
      <c r="H745" s="501"/>
      <c r="I745" s="483"/>
      <c r="J745" s="501"/>
      <c r="K745" s="501"/>
    </row>
    <row r="746" spans="1:11">
      <c r="A746" s="483"/>
      <c r="B746" s="483"/>
      <c r="C746" s="483"/>
      <c r="D746" s="1818"/>
      <c r="E746" s="1818"/>
      <c r="F746" s="1818"/>
      <c r="H746" s="501"/>
      <c r="I746" s="483"/>
      <c r="J746" s="501"/>
      <c r="K746" s="501"/>
    </row>
    <row r="747" spans="1:11">
      <c r="A747" s="483"/>
      <c r="B747" s="483"/>
      <c r="C747" s="483"/>
      <c r="D747" s="1818"/>
      <c r="E747" s="1818"/>
      <c r="F747" s="1818"/>
      <c r="H747" s="501"/>
      <c r="I747" s="483"/>
      <c r="J747" s="501"/>
      <c r="K747" s="501"/>
    </row>
    <row r="748" spans="1:11">
      <c r="A748" s="483"/>
      <c r="B748" s="483"/>
      <c r="C748" s="483"/>
      <c r="D748" s="492"/>
      <c r="H748" s="501"/>
      <c r="I748" s="483"/>
      <c r="J748" s="501"/>
      <c r="K748" s="501"/>
    </row>
    <row r="749" spans="1:11" ht="14.25">
      <c r="A749" s="484"/>
      <c r="B749" s="485" t="s">
        <v>307</v>
      </c>
      <c r="C749" s="483"/>
      <c r="D749" s="1818" t="s">
        <v>2099</v>
      </c>
      <c r="E749" s="1818"/>
      <c r="F749" s="1818"/>
      <c r="H749" s="501"/>
      <c r="I749" s="483"/>
      <c r="J749" s="501"/>
      <c r="K749" s="501"/>
    </row>
    <row r="750" spans="1:11">
      <c r="A750" s="483"/>
      <c r="B750" s="483"/>
      <c r="C750" s="483"/>
      <c r="D750" s="1818"/>
      <c r="E750" s="1818"/>
      <c r="F750" s="1818"/>
      <c r="H750" s="501"/>
      <c r="I750" s="483"/>
      <c r="J750" s="501"/>
      <c r="K750" s="501"/>
    </row>
    <row r="751" spans="1:11">
      <c r="A751" s="483"/>
      <c r="B751" s="483"/>
      <c r="C751" s="483"/>
      <c r="D751" s="1818"/>
      <c r="E751" s="1818"/>
      <c r="F751" s="1818"/>
      <c r="H751" s="501"/>
      <c r="I751" s="483"/>
      <c r="J751" s="501"/>
      <c r="K751" s="501"/>
    </row>
    <row r="752" spans="1:11">
      <c r="A752" s="483"/>
      <c r="B752" s="483"/>
      <c r="C752" s="483"/>
      <c r="D752" s="1818"/>
      <c r="E752" s="1818"/>
      <c r="F752" s="1818"/>
      <c r="H752" s="501"/>
      <c r="I752" s="483"/>
      <c r="J752" s="501"/>
      <c r="K752" s="501"/>
    </row>
    <row r="753" spans="1:11">
      <c r="A753" s="483"/>
      <c r="B753" s="483"/>
      <c r="C753" s="483"/>
      <c r="D753" s="1818"/>
      <c r="E753" s="1818"/>
      <c r="F753" s="1818"/>
      <c r="H753" s="501"/>
      <c r="I753" s="483"/>
      <c r="J753" s="501"/>
      <c r="K753" s="501"/>
    </row>
    <row r="754" spans="1:11">
      <c r="A754" s="483"/>
      <c r="B754" s="483"/>
      <c r="C754" s="483"/>
      <c r="D754" s="1818"/>
      <c r="E754" s="1818"/>
      <c r="F754" s="1818"/>
      <c r="H754" s="501"/>
      <c r="I754" s="483"/>
      <c r="J754" s="501"/>
      <c r="K754" s="501"/>
    </row>
    <row r="755" spans="1:11">
      <c r="A755" s="483"/>
      <c r="B755" s="483"/>
      <c r="C755" s="483"/>
      <c r="D755" s="1818"/>
      <c r="E755" s="1818"/>
      <c r="F755" s="1818"/>
      <c r="H755" s="501"/>
      <c r="I755" s="483"/>
      <c r="J755" s="501"/>
      <c r="K755" s="501"/>
    </row>
    <row r="756" spans="1:11">
      <c r="A756" s="483"/>
      <c r="B756" s="483"/>
      <c r="C756" s="483"/>
      <c r="D756" s="1856" t="s">
        <v>2608</v>
      </c>
      <c r="E756" s="1856"/>
      <c r="F756" s="1856"/>
      <c r="H756" s="501"/>
      <c r="I756" s="483"/>
      <c r="J756" s="501"/>
      <c r="K756" s="501"/>
    </row>
    <row r="757" spans="1:11">
      <c r="A757" s="483"/>
      <c r="B757" s="483"/>
      <c r="C757" s="483"/>
      <c r="D757" s="341"/>
      <c r="H757" s="501"/>
      <c r="I757" s="483"/>
      <c r="J757" s="501"/>
      <c r="K757" s="501"/>
    </row>
    <row r="758" spans="1:11">
      <c r="A758" s="1826" t="s">
        <v>1060</v>
      </c>
      <c r="B758" s="1826"/>
      <c r="C758" s="1826"/>
      <c r="D758" s="1826"/>
      <c r="E758" s="1826"/>
      <c r="F758" s="1826"/>
      <c r="G758" s="1826"/>
      <c r="H758" s="1025"/>
      <c r="I758" s="1151"/>
      <c r="J758" s="501"/>
      <c r="K758" s="501"/>
    </row>
    <row r="759" spans="1:11">
      <c r="A759" s="483"/>
      <c r="B759" s="483"/>
      <c r="C759" s="483"/>
      <c r="D759" s="492"/>
      <c r="G759" s="501"/>
      <c r="H759" s="501"/>
      <c r="I759" s="483"/>
      <c r="J759" s="501"/>
      <c r="K759" s="501"/>
    </row>
    <row r="760" spans="1:11" ht="13.7" customHeight="1">
      <c r="C760" s="483"/>
      <c r="D760" s="1820" t="s">
        <v>1070</v>
      </c>
      <c r="E760" s="1820"/>
      <c r="F760" s="1820"/>
      <c r="G760" s="501"/>
      <c r="H760" s="501"/>
      <c r="I760" s="483"/>
      <c r="J760" s="501"/>
      <c r="K760" s="501"/>
    </row>
    <row r="761" spans="1:11">
      <c r="A761" s="483"/>
      <c r="B761" s="483"/>
      <c r="C761" s="483"/>
      <c r="D761" s="1825" t="s">
        <v>1071</v>
      </c>
      <c r="E761" s="1825"/>
      <c r="F761" s="1825"/>
      <c r="G761" s="501"/>
      <c r="H761" s="501"/>
      <c r="I761" s="483"/>
      <c r="J761" s="501"/>
      <c r="K761" s="501"/>
    </row>
    <row r="762" spans="1:11">
      <c r="A762" s="483"/>
      <c r="B762" s="483"/>
      <c r="C762" s="483"/>
      <c r="G762" s="501"/>
      <c r="H762" s="501"/>
      <c r="I762" s="483"/>
      <c r="J762" s="501"/>
      <c r="K762" s="501"/>
    </row>
    <row r="763" spans="1:11" ht="14.25">
      <c r="A763" s="484"/>
      <c r="B763" s="485" t="s">
        <v>307</v>
      </c>
      <c r="D763" s="1818" t="s">
        <v>1072</v>
      </c>
      <c r="E763" s="1818"/>
      <c r="F763" s="1818"/>
      <c r="G763" s="501"/>
      <c r="H763" s="501"/>
      <c r="I763" s="483"/>
      <c r="J763" s="501"/>
      <c r="K763" s="501"/>
    </row>
    <row r="764" spans="1:11" ht="10.5" customHeight="1">
      <c r="D764" s="1818"/>
      <c r="E764" s="1818"/>
      <c r="F764" s="1818"/>
      <c r="G764" s="501"/>
      <c r="H764" s="501"/>
      <c r="I764" s="483"/>
      <c r="J764" s="501"/>
      <c r="K764" s="501"/>
    </row>
    <row r="765" spans="1:11">
      <c r="D765" s="1818"/>
      <c r="E765" s="1818"/>
      <c r="F765" s="1818"/>
      <c r="G765" s="501"/>
      <c r="H765" s="501"/>
      <c r="I765" s="483"/>
      <c r="J765" s="501"/>
      <c r="K765" s="501"/>
    </row>
    <row r="766" spans="1:11">
      <c r="D766" s="1818"/>
      <c r="E766" s="1818"/>
      <c r="F766" s="1818"/>
      <c r="G766" s="501"/>
      <c r="H766" s="501"/>
      <c r="I766" s="483"/>
      <c r="J766" s="501"/>
      <c r="K766" s="501"/>
    </row>
    <row r="767" spans="1:11">
      <c r="D767" s="1818"/>
      <c r="E767" s="1818"/>
      <c r="F767" s="1818"/>
      <c r="G767" s="501"/>
      <c r="H767" s="501"/>
      <c r="I767" s="483"/>
      <c r="J767" s="501"/>
      <c r="K767" s="501"/>
    </row>
    <row r="768" spans="1:11" ht="15.6" customHeight="1">
      <c r="D768" s="1818"/>
      <c r="E768" s="1818"/>
      <c r="F768" s="1818"/>
      <c r="G768" s="501"/>
      <c r="H768" s="501"/>
      <c r="I768" s="483"/>
      <c r="J768" s="501"/>
      <c r="K768" s="501"/>
    </row>
    <row r="769" spans="1:11">
      <c r="D769" s="499"/>
      <c r="E769" s="446"/>
      <c r="F769" s="446"/>
      <c r="G769" s="501"/>
      <c r="H769" s="501"/>
      <c r="I769" s="483"/>
      <c r="J769" s="501"/>
      <c r="K769" s="501"/>
    </row>
    <row r="770" spans="1:11" s="505" customFormat="1" ht="14.25">
      <c r="A770" s="503"/>
      <c r="B770" s="485" t="s">
        <v>307</v>
      </c>
      <c r="C770" s="504"/>
      <c r="D770" s="1818" t="s">
        <v>1241</v>
      </c>
      <c r="E770" s="1818"/>
      <c r="F770" s="1818"/>
      <c r="I770" s="1152"/>
    </row>
    <row r="771" spans="1:11" s="505" customFormat="1">
      <c r="A771" s="504"/>
      <c r="B771" s="504"/>
      <c r="C771" s="504"/>
      <c r="D771" s="1818"/>
      <c r="E771" s="1818"/>
      <c r="F771" s="1818"/>
      <c r="I771" s="1152"/>
    </row>
    <row r="772" spans="1:11" s="505" customFormat="1">
      <c r="A772" s="504"/>
      <c r="B772" s="504"/>
      <c r="C772" s="504"/>
      <c r="D772" s="1818"/>
      <c r="E772" s="1818"/>
      <c r="F772" s="1818"/>
      <c r="I772" s="1152"/>
    </row>
    <row r="773" spans="1:11" s="505" customFormat="1">
      <c r="A773" s="504"/>
      <c r="B773" s="504"/>
      <c r="C773" s="504"/>
      <c r="D773" s="1818"/>
      <c r="E773" s="1818"/>
      <c r="F773" s="1818"/>
      <c r="I773" s="1152"/>
    </row>
    <row r="774" spans="1:11" s="505" customFormat="1">
      <c r="A774" s="504"/>
      <c r="B774" s="504"/>
      <c r="C774" s="504"/>
      <c r="D774" s="499"/>
      <c r="I774" s="1152"/>
    </row>
    <row r="775" spans="1:11" s="505" customFormat="1" ht="14.25">
      <c r="A775" s="484"/>
      <c r="B775" s="485" t="s">
        <v>307</v>
      </c>
      <c r="C775" s="504"/>
      <c r="D775" s="1829" t="s">
        <v>1242</v>
      </c>
      <c r="E775" s="1829"/>
      <c r="F775" s="1829"/>
      <c r="I775" s="1152"/>
    </row>
    <row r="776" spans="1:11" s="505" customFormat="1">
      <c r="A776" s="504"/>
      <c r="B776" s="504"/>
      <c r="C776" s="504"/>
      <c r="D776" s="1829"/>
      <c r="E776" s="1829"/>
      <c r="F776" s="1829"/>
      <c r="I776" s="1152"/>
    </row>
    <row r="777" spans="1:11" s="505" customFormat="1">
      <c r="A777" s="504"/>
      <c r="B777" s="504"/>
      <c r="C777" s="504"/>
      <c r="D777" s="1829"/>
      <c r="E777" s="1829"/>
      <c r="F777" s="1829"/>
      <c r="I777" s="1152"/>
    </row>
    <row r="778" spans="1:11">
      <c r="D778" s="499"/>
      <c r="E778" s="446"/>
      <c r="F778" s="446"/>
      <c r="G778" s="501"/>
      <c r="H778" s="501"/>
      <c r="I778" s="483"/>
      <c r="J778" s="501"/>
      <c r="K778" s="501"/>
    </row>
    <row r="779" spans="1:11" ht="14.25">
      <c r="A779" s="484"/>
      <c r="B779" s="485" t="s">
        <v>307</v>
      </c>
      <c r="D779" s="1818" t="s">
        <v>1198</v>
      </c>
      <c r="E779" s="1818"/>
      <c r="F779" s="1818"/>
      <c r="G779" s="501"/>
      <c r="H779" s="501"/>
      <c r="I779" s="483"/>
      <c r="J779" s="501"/>
      <c r="K779" s="501"/>
    </row>
    <row r="780" spans="1:11">
      <c r="D780" s="1818"/>
      <c r="E780" s="1818"/>
      <c r="F780" s="1818"/>
      <c r="G780" s="501"/>
      <c r="H780" s="501"/>
      <c r="I780" s="483"/>
      <c r="J780" s="501"/>
      <c r="K780" s="501"/>
    </row>
    <row r="781" spans="1:11">
      <c r="D781" s="445"/>
      <c r="E781" s="445"/>
      <c r="F781" s="445"/>
      <c r="G781" s="501"/>
      <c r="H781" s="501"/>
      <c r="I781" s="483"/>
      <c r="J781" s="501"/>
      <c r="K781" s="501"/>
    </row>
    <row r="782" spans="1:11">
      <c r="B782" s="485" t="s">
        <v>307</v>
      </c>
      <c r="D782" s="1818" t="s">
        <v>1215</v>
      </c>
      <c r="E782" s="1818"/>
      <c r="F782" s="1818"/>
      <c r="G782" s="501"/>
      <c r="H782" s="501"/>
      <c r="I782" s="483"/>
      <c r="J782" s="501"/>
      <c r="K782" s="501"/>
    </row>
    <row r="783" spans="1:11">
      <c r="D783" s="1818"/>
      <c r="E783" s="1818"/>
      <c r="F783" s="1818"/>
      <c r="G783" s="501"/>
      <c r="H783" s="501"/>
      <c r="I783" s="483"/>
      <c r="J783" s="501"/>
      <c r="K783" s="501"/>
    </row>
    <row r="784" spans="1:11">
      <c r="D784" s="1818"/>
      <c r="E784" s="1818"/>
      <c r="F784" s="1818"/>
      <c r="G784" s="501"/>
      <c r="H784" s="501"/>
      <c r="I784" s="483"/>
      <c r="J784" s="501"/>
      <c r="K784" s="501"/>
    </row>
    <row r="785" spans="1:11">
      <c r="D785" s="445"/>
      <c r="E785" s="445"/>
      <c r="F785" s="445"/>
      <c r="G785" s="501"/>
      <c r="H785" s="501"/>
      <c r="I785" s="483"/>
      <c r="J785" s="501"/>
      <c r="K785" s="501"/>
    </row>
    <row r="786" spans="1:11" hidden="1">
      <c r="A786" s="1848" t="s">
        <v>1789</v>
      </c>
      <c r="B786" s="1848"/>
      <c r="C786" s="1848"/>
      <c r="D786" s="1848"/>
      <c r="E786" s="1848"/>
      <c r="F786" s="1848"/>
      <c r="G786" s="1848"/>
      <c r="H786" s="1023"/>
      <c r="I786" s="1147"/>
    </row>
    <row r="787" spans="1:11" hidden="1">
      <c r="A787" s="57"/>
      <c r="B787" s="57"/>
      <c r="C787" s="354"/>
      <c r="D787" s="3"/>
      <c r="E787" s="3"/>
      <c r="F787" s="3"/>
      <c r="G787" s="3"/>
      <c r="I787" s="490"/>
    </row>
    <row r="788" spans="1:11" hidden="1">
      <c r="A788" s="57"/>
      <c r="B788" s="57"/>
      <c r="C788" s="354"/>
      <c r="D788" s="1847" t="s">
        <v>1829</v>
      </c>
      <c r="E788" s="1847"/>
      <c r="F788" s="1847"/>
      <c r="G788" s="3"/>
      <c r="I788" s="490"/>
    </row>
    <row r="789" spans="1:11" hidden="1">
      <c r="A789" s="57"/>
      <c r="B789" s="57"/>
      <c r="C789" s="354"/>
      <c r="D789" s="1832" t="s">
        <v>1743</v>
      </c>
      <c r="E789" s="1832"/>
      <c r="F789" s="1832"/>
      <c r="G789" s="3"/>
      <c r="I789" s="490"/>
    </row>
    <row r="790" spans="1:11" hidden="1">
      <c r="A790" s="57"/>
      <c r="B790" s="57"/>
      <c r="C790" s="354"/>
      <c r="D790" s="447"/>
      <c r="E790" s="447"/>
      <c r="F790" s="447"/>
      <c r="G790" s="3"/>
      <c r="I790" s="490"/>
    </row>
    <row r="791" spans="1:11" hidden="1">
      <c r="A791" s="57"/>
      <c r="B791" s="485" t="s">
        <v>307</v>
      </c>
      <c r="C791" s="354"/>
      <c r="D791" s="1849" t="s">
        <v>1744</v>
      </c>
      <c r="E791" s="1849"/>
      <c r="F791" s="1849"/>
      <c r="G791" s="3"/>
      <c r="I791" s="483"/>
    </row>
    <row r="792" spans="1:11" hidden="1">
      <c r="A792" s="57"/>
      <c r="B792" s="57"/>
      <c r="C792" s="354"/>
      <c r="D792" s="1849"/>
      <c r="E792" s="1849"/>
      <c r="F792" s="1849"/>
      <c r="G792" s="3"/>
      <c r="I792" s="490"/>
    </row>
    <row r="793" spans="1:11" hidden="1">
      <c r="A793" s="174"/>
      <c r="B793" s="174"/>
      <c r="C793" s="174"/>
      <c r="D793" s="1849"/>
      <c r="E793" s="1849"/>
      <c r="F793" s="1849"/>
      <c r="G793" s="118"/>
      <c r="I793" s="490"/>
    </row>
    <row r="794" spans="1:11" hidden="1">
      <c r="A794" s="354"/>
      <c r="B794" s="354"/>
      <c r="C794" s="354"/>
      <c r="D794" s="173"/>
      <c r="E794" s="3"/>
      <c r="F794" s="3"/>
      <c r="G794" s="3"/>
      <c r="I794" s="490"/>
    </row>
    <row r="795" spans="1:11" hidden="1">
      <c r="A795" s="172"/>
      <c r="B795" s="485" t="s">
        <v>307</v>
      </c>
      <c r="C795" s="172"/>
      <c r="D795" s="1849" t="s">
        <v>1745</v>
      </c>
      <c r="E795" s="1849"/>
      <c r="F795" s="1849"/>
      <c r="G795" s="3"/>
      <c r="I795" s="483"/>
    </row>
    <row r="796" spans="1:11" hidden="1">
      <c r="A796" s="172"/>
      <c r="B796" s="172"/>
      <c r="C796" s="172"/>
      <c r="D796" s="1849"/>
      <c r="E796" s="1849"/>
      <c r="F796" s="1849"/>
      <c r="G796" s="3"/>
      <c r="I796" s="490"/>
    </row>
    <row r="797" spans="1:11" hidden="1">
      <c r="A797" s="172"/>
      <c r="B797" s="172"/>
      <c r="C797" s="172"/>
      <c r="D797" s="1849"/>
      <c r="E797" s="1849"/>
      <c r="F797" s="1849"/>
      <c r="G797" s="3"/>
      <c r="I797" s="490"/>
    </row>
    <row r="798" spans="1:11" hidden="1">
      <c r="A798" s="174"/>
      <c r="B798" s="174"/>
      <c r="C798" s="174"/>
      <c r="D798" s="3"/>
      <c r="E798" s="983"/>
      <c r="F798" s="983"/>
      <c r="G798" s="983"/>
      <c r="I798" s="490"/>
    </row>
    <row r="799" spans="1:11" ht="14.25" hidden="1">
      <c r="A799" s="175"/>
      <c r="B799" s="485" t="s">
        <v>307</v>
      </c>
      <c r="C799" s="984"/>
      <c r="D799" s="1849" t="s">
        <v>1746</v>
      </c>
      <c r="E799" s="1849"/>
      <c r="F799" s="1849"/>
      <c r="G799" s="983"/>
      <c r="I799" s="483"/>
    </row>
    <row r="800" spans="1:11" ht="14.25" hidden="1">
      <c r="A800" s="175"/>
      <c r="B800" s="175"/>
      <c r="C800" s="984"/>
      <c r="D800" s="1849"/>
      <c r="E800" s="1849"/>
      <c r="F800" s="1849"/>
      <c r="G800" s="983"/>
      <c r="I800" s="490"/>
    </row>
    <row r="801" spans="1:9" ht="14.25" hidden="1">
      <c r="A801" s="175"/>
      <c r="B801" s="175"/>
      <c r="C801" s="984"/>
      <c r="D801" s="1849"/>
      <c r="E801" s="1849"/>
      <c r="F801" s="1849"/>
      <c r="G801" s="983"/>
      <c r="I801" s="490"/>
    </row>
    <row r="802" spans="1:9" ht="14.25" hidden="1">
      <c r="A802" s="175"/>
      <c r="B802" s="175"/>
      <c r="C802" s="984"/>
      <c r="D802" s="118"/>
      <c r="E802" s="3"/>
      <c r="F802" s="3"/>
      <c r="G802" s="983"/>
      <c r="I802" s="490"/>
    </row>
    <row r="803" spans="1:9" ht="14.25" hidden="1">
      <c r="A803" s="175"/>
      <c r="B803" s="485" t="s">
        <v>307</v>
      </c>
      <c r="C803" s="984"/>
      <c r="D803" s="1849" t="s">
        <v>1747</v>
      </c>
      <c r="E803" s="1849"/>
      <c r="F803" s="1849"/>
      <c r="G803" s="983"/>
      <c r="I803" s="483"/>
    </row>
    <row r="804" spans="1:9" ht="14.25" hidden="1">
      <c r="A804" s="175"/>
      <c r="B804" s="175"/>
      <c r="C804" s="984"/>
      <c r="D804" s="1849"/>
      <c r="E804" s="1849"/>
      <c r="F804" s="1849"/>
      <c r="G804" s="983"/>
      <c r="I804" s="490"/>
    </row>
    <row r="805" spans="1:9" ht="14.25" hidden="1">
      <c r="A805" s="175"/>
      <c r="B805" s="175"/>
      <c r="C805" s="984"/>
      <c r="D805" s="1849"/>
      <c r="E805" s="1849"/>
      <c r="F805" s="1849"/>
      <c r="G805" s="983"/>
      <c r="I805" s="490"/>
    </row>
    <row r="806" spans="1:9" ht="14.25" hidden="1">
      <c r="A806" s="175"/>
      <c r="B806" s="175"/>
      <c r="C806" s="984"/>
      <c r="D806" s="1849"/>
      <c r="E806" s="1849"/>
      <c r="F806" s="1849"/>
      <c r="G806" s="983"/>
      <c r="I806" s="490"/>
    </row>
    <row r="807" spans="1:9" ht="14.25" hidden="1">
      <c r="A807" s="175"/>
      <c r="B807" s="175"/>
      <c r="C807" s="984"/>
      <c r="D807" s="1849"/>
      <c r="E807" s="1849"/>
      <c r="F807" s="1849"/>
      <c r="G807" s="983"/>
      <c r="I807" s="490"/>
    </row>
    <row r="808" spans="1:9" ht="14.25" hidden="1">
      <c r="A808" s="175"/>
      <c r="B808" s="175"/>
      <c r="C808" s="984"/>
      <c r="D808" s="1849"/>
      <c r="E808" s="1849"/>
      <c r="F808" s="1849"/>
      <c r="G808" s="983"/>
      <c r="I808" s="490"/>
    </row>
    <row r="809" spans="1:9" ht="14.25" hidden="1">
      <c r="A809" s="175"/>
      <c r="B809" s="175"/>
      <c r="C809" s="984"/>
      <c r="D809" s="1849" t="s">
        <v>1790</v>
      </c>
      <c r="E809" s="1849"/>
      <c r="F809" s="1849"/>
      <c r="G809" s="983"/>
      <c r="I809" s="490"/>
    </row>
    <row r="810" spans="1:9" ht="14.25" hidden="1">
      <c r="A810" s="175"/>
      <c r="B810" s="175"/>
      <c r="C810" s="984"/>
      <c r="D810" s="1849"/>
      <c r="E810" s="1849"/>
      <c r="F810" s="1849"/>
      <c r="G810" s="983"/>
      <c r="I810" s="490"/>
    </row>
    <row r="811" spans="1:9" ht="14.25" hidden="1">
      <c r="A811" s="175"/>
      <c r="B811" s="175"/>
      <c r="C811" s="984"/>
      <c r="D811" s="1849"/>
      <c r="E811" s="1849"/>
      <c r="F811" s="1849"/>
      <c r="G811" s="983"/>
      <c r="I811" s="490"/>
    </row>
    <row r="812" spans="1:9" ht="14.25" hidden="1">
      <c r="A812" s="175"/>
      <c r="B812" s="354"/>
      <c r="C812" s="984"/>
      <c r="D812" s="985"/>
      <c r="E812" s="985"/>
      <c r="F812" s="985"/>
      <c r="G812" s="983"/>
      <c r="I812" s="490"/>
    </row>
    <row r="813" spans="1:9" ht="14.25" hidden="1">
      <c r="A813" s="175"/>
      <c r="B813" s="485" t="s">
        <v>307</v>
      </c>
      <c r="C813" s="984"/>
      <c r="D813" s="1849" t="s">
        <v>1748</v>
      </c>
      <c r="E813" s="1849"/>
      <c r="F813" s="1849"/>
      <c r="G813" s="983"/>
      <c r="I813" s="483"/>
    </row>
    <row r="814" spans="1:9" ht="14.25" hidden="1">
      <c r="A814" s="175"/>
      <c r="B814" s="175"/>
      <c r="C814" s="984"/>
      <c r="D814" s="1849"/>
      <c r="E814" s="1849"/>
      <c r="F814" s="1849"/>
      <c r="G814" s="983"/>
      <c r="I814" s="490"/>
    </row>
    <row r="815" spans="1:9" ht="14.25" hidden="1">
      <c r="A815" s="175"/>
      <c r="B815" s="175"/>
      <c r="C815" s="984"/>
      <c r="D815" s="1849"/>
      <c r="E815" s="1849"/>
      <c r="F815" s="1849"/>
      <c r="G815" s="983"/>
      <c r="I815" s="490"/>
    </row>
    <row r="816" spans="1:9" ht="14.25" hidden="1">
      <c r="A816" s="175"/>
      <c r="B816" s="175"/>
      <c r="C816" s="984"/>
      <c r="D816" s="1849"/>
      <c r="E816" s="1849"/>
      <c r="F816" s="1849"/>
      <c r="G816" s="983"/>
      <c r="I816" s="490"/>
    </row>
    <row r="817" spans="1:9" ht="14.25" hidden="1">
      <c r="A817" s="175"/>
      <c r="B817" s="175"/>
      <c r="C817" s="984"/>
      <c r="D817" s="1849"/>
      <c r="E817" s="1849"/>
      <c r="F817" s="1849"/>
      <c r="G817" s="983"/>
      <c r="I817" s="490"/>
    </row>
    <row r="818" spans="1:9" ht="14.25" hidden="1">
      <c r="A818" s="175"/>
      <c r="B818" s="175"/>
      <c r="C818" s="984"/>
      <c r="D818" s="1849"/>
      <c r="E818" s="1849"/>
      <c r="F818" s="1849"/>
      <c r="G818" s="983"/>
      <c r="I818" s="490"/>
    </row>
    <row r="819" spans="1:9" ht="14.25" hidden="1">
      <c r="A819" s="175"/>
      <c r="B819" s="175"/>
      <c r="C819" s="984"/>
      <c r="D819" s="977"/>
      <c r="E819" s="977"/>
      <c r="F819" s="977"/>
      <c r="G819" s="983"/>
      <c r="I819" s="490"/>
    </row>
    <row r="820" spans="1:9" ht="14.25" hidden="1">
      <c r="A820" s="175"/>
      <c r="B820" s="485" t="s">
        <v>307</v>
      </c>
      <c r="C820" s="984"/>
      <c r="D820" s="1849" t="s">
        <v>1749</v>
      </c>
      <c r="E820" s="1849"/>
      <c r="F820" s="1849"/>
      <c r="G820" s="983"/>
      <c r="I820" s="483"/>
    </row>
    <row r="821" spans="1:9" ht="14.25" hidden="1">
      <c r="A821" s="175"/>
      <c r="B821" s="175"/>
      <c r="C821" s="984"/>
      <c r="D821" s="1849"/>
      <c r="E821" s="1849"/>
      <c r="F821" s="1849"/>
      <c r="G821" s="983"/>
      <c r="I821" s="490"/>
    </row>
    <row r="822" spans="1:9" ht="14.25" hidden="1">
      <c r="A822" s="175"/>
      <c r="B822" s="175"/>
      <c r="C822" s="984"/>
      <c r="D822" s="1849"/>
      <c r="E822" s="1849"/>
      <c r="F822" s="1849"/>
      <c r="G822" s="983"/>
      <c r="I822" s="490"/>
    </row>
    <row r="823" spans="1:9" ht="14.25" hidden="1">
      <c r="A823" s="175"/>
      <c r="B823" s="175"/>
      <c r="C823" s="984"/>
      <c r="D823" s="1849"/>
      <c r="E823" s="1849"/>
      <c r="F823" s="1849"/>
      <c r="G823" s="983"/>
      <c r="I823" s="490"/>
    </row>
    <row r="824" spans="1:9" ht="14.25" hidden="1">
      <c r="A824" s="175"/>
      <c r="B824" s="175"/>
      <c r="C824" s="984"/>
      <c r="D824" s="1849"/>
      <c r="E824" s="1849"/>
      <c r="F824" s="1849"/>
      <c r="G824" s="983"/>
      <c r="I824" s="490"/>
    </row>
    <row r="825" spans="1:9" ht="14.25" hidden="1">
      <c r="A825" s="175"/>
      <c r="B825" s="175"/>
      <c r="C825" s="984"/>
      <c r="D825" s="1849"/>
      <c r="E825" s="1849"/>
      <c r="F825" s="1849"/>
      <c r="G825" s="983"/>
      <c r="I825" s="490"/>
    </row>
    <row r="826" spans="1:9" ht="14.25" hidden="1">
      <c r="A826" s="175"/>
      <c r="B826" s="175"/>
      <c r="C826" s="984"/>
      <c r="D826" s="977"/>
      <c r="E826" s="977"/>
      <c r="F826" s="977"/>
      <c r="G826" s="983"/>
      <c r="I826" s="490"/>
    </row>
    <row r="827" spans="1:9" ht="14.25" hidden="1">
      <c r="A827" s="175"/>
      <c r="B827" s="485" t="s">
        <v>307</v>
      </c>
      <c r="C827" s="984"/>
      <c r="D827" s="1823" t="s">
        <v>1750</v>
      </c>
      <c r="E827" s="1823"/>
      <c r="F827" s="1823"/>
      <c r="G827" s="983"/>
      <c r="I827" s="483"/>
    </row>
    <row r="828" spans="1:9" ht="14.25" hidden="1">
      <c r="A828" s="175"/>
      <c r="B828" s="175"/>
      <c r="C828" s="984"/>
      <c r="D828" s="1823"/>
      <c r="E828" s="1823"/>
      <c r="F828" s="1823"/>
      <c r="G828" s="983"/>
      <c r="I828" s="490"/>
    </row>
    <row r="829" spans="1:9" hidden="1">
      <c r="A829" s="13"/>
      <c r="B829" s="13"/>
      <c r="C829" s="984"/>
      <c r="D829" s="1823"/>
      <c r="E829" s="1823"/>
      <c r="F829" s="1823"/>
      <c r="G829" s="983"/>
      <c r="I829" s="490"/>
    </row>
    <row r="830" spans="1:9" ht="14.25" hidden="1">
      <c r="A830" s="175"/>
      <c r="B830" s="13"/>
      <c r="C830" s="984"/>
      <c r="D830" s="1823"/>
      <c r="E830" s="1823"/>
      <c r="F830" s="1823"/>
      <c r="G830" s="983"/>
      <c r="I830" s="490"/>
    </row>
    <row r="831" spans="1:9" ht="12.75" hidden="1" customHeight="1">
      <c r="A831" s="175"/>
      <c r="B831" s="13"/>
      <c r="C831" s="984"/>
      <c r="D831" s="1823"/>
      <c r="E831" s="1823"/>
      <c r="F831" s="1823"/>
      <c r="G831" s="983"/>
      <c r="I831" s="490"/>
    </row>
    <row r="832" spans="1:9" ht="12.75" hidden="1" customHeight="1">
      <c r="A832" s="175"/>
      <c r="B832" s="13"/>
      <c r="C832" s="984"/>
      <c r="D832" s="1823"/>
      <c r="E832" s="1823"/>
      <c r="F832" s="1823"/>
      <c r="G832" s="983"/>
      <c r="I832" s="490"/>
    </row>
    <row r="833" spans="1:9" ht="12.75" hidden="1" customHeight="1">
      <c r="A833" s="13"/>
      <c r="B833" s="13"/>
      <c r="C833" s="984"/>
      <c r="D833" s="983"/>
      <c r="E833" s="3"/>
      <c r="F833" s="3"/>
      <c r="G833" s="983"/>
      <c r="I833" s="490"/>
    </row>
    <row r="834" spans="1:9" ht="12.75" customHeight="1">
      <c r="A834" s="1841" t="s">
        <v>1751</v>
      </c>
      <c r="B834" s="1841"/>
      <c r="C834" s="1841"/>
      <c r="D834" s="1841"/>
      <c r="E834" s="1841"/>
      <c r="F834" s="1841"/>
      <c r="G834" s="1841"/>
      <c r="H834" s="1023"/>
      <c r="I834" s="1147"/>
    </row>
    <row r="835" spans="1:9" ht="12.75" customHeight="1">
      <c r="A835" s="172"/>
      <c r="B835" s="172"/>
      <c r="C835" s="984"/>
      <c r="D835" s="983"/>
      <c r="E835" s="983"/>
      <c r="F835" s="983"/>
      <c r="G835" s="983"/>
      <c r="I835" s="490"/>
    </row>
    <row r="836" spans="1:9" ht="12.75" customHeight="1">
      <c r="A836" s="175"/>
      <c r="B836" s="175"/>
      <c r="C836" s="354"/>
      <c r="D836" s="1846" t="s">
        <v>1791</v>
      </c>
      <c r="E836" s="1846"/>
      <c r="F836" s="1846"/>
      <c r="G836" s="3"/>
      <c r="I836" s="490"/>
    </row>
    <row r="837" spans="1:9" ht="14.25" customHeight="1">
      <c r="A837" s="175"/>
      <c r="B837" s="175"/>
      <c r="C837" s="354"/>
      <c r="D837" s="1480" t="s">
        <v>1752</v>
      </c>
      <c r="E837" s="1480"/>
      <c r="F837" s="1480"/>
      <c r="G837" s="3"/>
      <c r="I837" s="490"/>
    </row>
    <row r="838" spans="1:9" ht="12.75" customHeight="1">
      <c r="A838" s="175"/>
      <c r="B838" s="175"/>
      <c r="C838" s="354"/>
      <c r="D838" s="441"/>
      <c r="E838" s="441"/>
      <c r="F838" s="441"/>
      <c r="G838" s="3"/>
      <c r="I838" s="490"/>
    </row>
    <row r="839" spans="1:9" ht="12.75" customHeight="1">
      <c r="A839" s="354"/>
      <c r="B839" s="485" t="s">
        <v>307</v>
      </c>
      <c r="C839" s="984"/>
      <c r="D839" s="1480" t="s">
        <v>1753</v>
      </c>
      <c r="E839" s="1480"/>
      <c r="F839" s="1480"/>
      <c r="G839" s="3"/>
      <c r="I839" s="490" t="s">
        <v>1853</v>
      </c>
    </row>
    <row r="840" spans="1:9" ht="14.25" customHeight="1">
      <c r="A840" s="13"/>
      <c r="B840" s="13"/>
      <c r="C840" s="984"/>
      <c r="E840" s="1031" t="s">
        <v>1868</v>
      </c>
      <c r="F840" s="1033"/>
      <c r="G840" s="3"/>
      <c r="I840" s="490"/>
    </row>
    <row r="841" spans="1:9" ht="12.75" customHeight="1">
      <c r="A841" s="13"/>
      <c r="B841" s="13"/>
      <c r="C841" s="984"/>
      <c r="D841" s="986"/>
      <c r="E841" s="3"/>
      <c r="F841" s="3"/>
      <c r="G841" s="3"/>
      <c r="I841" s="490"/>
    </row>
    <row r="842" spans="1:9" ht="14.25" hidden="1" customHeight="1">
      <c r="A842" s="13"/>
      <c r="B842" s="485" t="s">
        <v>307</v>
      </c>
      <c r="C842" s="984"/>
      <c r="D842" s="1855" t="s">
        <v>2031</v>
      </c>
      <c r="E842" s="1855"/>
      <c r="F842" s="1855"/>
      <c r="G842" s="3"/>
      <c r="I842" s="490"/>
    </row>
    <row r="843" spans="1:9" ht="12.75" hidden="1" customHeight="1">
      <c r="A843" s="13"/>
      <c r="B843" s="13"/>
      <c r="C843" s="984"/>
      <c r="D843" s="1855"/>
      <c r="E843" s="1855"/>
      <c r="F843" s="1855"/>
      <c r="G843" s="3"/>
      <c r="I843" s="490"/>
    </row>
    <row r="844" spans="1:9" ht="12.75" hidden="1" customHeight="1">
      <c r="A844" s="13"/>
      <c r="B844" s="13"/>
      <c r="C844" s="984"/>
      <c r="D844" s="1855"/>
      <c r="E844" s="1855"/>
      <c r="F844" s="1855"/>
      <c r="G844" s="3"/>
      <c r="I844" s="490"/>
    </row>
    <row r="845" spans="1:9" ht="12.75" hidden="1" customHeight="1">
      <c r="A845" s="13"/>
      <c r="B845" s="13"/>
      <c r="C845" s="984"/>
      <c r="D845" s="1855"/>
      <c r="E845" s="1855"/>
      <c r="F845" s="1855"/>
      <c r="G845" s="3"/>
      <c r="I845" s="490"/>
    </row>
    <row r="846" spans="1:9" ht="12.75" hidden="1" customHeight="1">
      <c r="A846" s="13"/>
      <c r="B846" s="13"/>
      <c r="C846" s="984"/>
      <c r="D846" s="1855"/>
      <c r="E846" s="1855"/>
      <c r="F846" s="1855"/>
      <c r="G846" s="3"/>
      <c r="I846" s="490"/>
    </row>
    <row r="847" spans="1:9" ht="12.75" hidden="1" customHeight="1">
      <c r="A847" s="13"/>
      <c r="B847" s="13"/>
      <c r="C847" s="984"/>
      <c r="D847" s="1855"/>
      <c r="E847" s="1855"/>
      <c r="F847" s="1855"/>
      <c r="G847" s="3"/>
      <c r="I847" s="490"/>
    </row>
    <row r="848" spans="1:9" ht="12.75" hidden="1" customHeight="1">
      <c r="A848" s="13"/>
      <c r="B848" s="13"/>
      <c r="C848" s="984"/>
      <c r="D848" s="1855"/>
      <c r="E848" s="1855"/>
      <c r="F848" s="1855"/>
      <c r="G848" s="3"/>
      <c r="I848" s="490"/>
    </row>
    <row r="849" spans="1:9" ht="12.75" hidden="1" customHeight="1">
      <c r="A849" s="13"/>
      <c r="B849" s="13"/>
      <c r="C849" s="984"/>
      <c r="D849" s="1855"/>
      <c r="E849" s="1855"/>
      <c r="F849" s="1855"/>
      <c r="G849" s="3"/>
      <c r="I849" s="490"/>
    </row>
    <row r="850" spans="1:9" ht="12.75" hidden="1" customHeight="1">
      <c r="A850" s="13"/>
      <c r="B850" s="13"/>
      <c r="C850" s="984"/>
      <c r="D850" s="1855"/>
      <c r="E850" s="1855"/>
      <c r="F850" s="1855"/>
      <c r="G850" s="3"/>
      <c r="I850" s="490"/>
    </row>
    <row r="851" spans="1:9" ht="12.75" hidden="1" customHeight="1">
      <c r="A851" s="13"/>
      <c r="B851" s="13"/>
      <c r="C851" s="984"/>
      <c r="D851" s="1855"/>
      <c r="E851" s="1855"/>
      <c r="F851" s="1855"/>
      <c r="G851" s="3"/>
      <c r="I851" s="490"/>
    </row>
    <row r="852" spans="1:9" ht="12.75" hidden="1" customHeight="1">
      <c r="A852" s="13"/>
      <c r="B852" s="13"/>
      <c r="C852" s="984"/>
      <c r="D852" s="986"/>
      <c r="E852" s="3"/>
      <c r="F852" s="3"/>
      <c r="G852" s="3"/>
      <c r="I852" s="490"/>
    </row>
    <row r="853" spans="1:9" ht="12.75" customHeight="1">
      <c r="A853" s="175"/>
      <c r="B853" s="485" t="s">
        <v>307</v>
      </c>
      <c r="C853" s="984"/>
      <c r="D853" s="1480" t="s">
        <v>1754</v>
      </c>
      <c r="E853" s="1480"/>
      <c r="F853" s="1480"/>
      <c r="G853" s="3"/>
      <c r="I853" s="490" t="s">
        <v>1856</v>
      </c>
    </row>
    <row r="854" spans="1:9" ht="12.75" customHeight="1">
      <c r="A854" s="175"/>
      <c r="B854" s="175"/>
      <c r="C854" s="984"/>
      <c r="D854" s="1480"/>
      <c r="E854" s="1480"/>
      <c r="F854" s="1480"/>
      <c r="G854" s="3"/>
      <c r="I854" s="490"/>
    </row>
    <row r="855" spans="1:9" ht="12.75" customHeight="1">
      <c r="A855" s="175"/>
      <c r="B855" s="175"/>
      <c r="C855" s="984"/>
      <c r="D855" s="1480"/>
      <c r="E855" s="1480"/>
      <c r="F855" s="1480"/>
      <c r="G855" s="3"/>
      <c r="I855" s="490"/>
    </row>
    <row r="856" spans="1:9" ht="12.75" customHeight="1">
      <c r="A856" s="175"/>
      <c r="B856" s="175"/>
      <c r="C856" s="984"/>
      <c r="D856" s="118"/>
      <c r="E856" s="3"/>
      <c r="F856" s="3"/>
      <c r="G856" s="3"/>
      <c r="I856" s="490"/>
    </row>
    <row r="857" spans="1:9" ht="12.75" customHeight="1">
      <c r="A857" s="987"/>
      <c r="B857" s="485" t="s">
        <v>307</v>
      </c>
      <c r="C857" s="984"/>
      <c r="D857" s="1846" t="s">
        <v>1755</v>
      </c>
      <c r="E857" s="1846"/>
      <c r="F857" s="1846"/>
      <c r="G857" s="3"/>
      <c r="I857" s="490"/>
    </row>
    <row r="858" spans="1:9" ht="12.75" customHeight="1">
      <c r="A858" s="354"/>
      <c r="B858" s="987"/>
      <c r="C858" s="984"/>
      <c r="D858" s="1846"/>
      <c r="E858" s="1846"/>
      <c r="F858" s="1846"/>
      <c r="G858" s="3"/>
      <c r="I858" s="490"/>
    </row>
    <row r="859" spans="1:9" ht="12.75" customHeight="1">
      <c r="A859" s="175"/>
      <c r="B859" s="354"/>
      <c r="C859" s="984"/>
      <c r="D859" s="1480" t="s">
        <v>2026</v>
      </c>
      <c r="E859" s="1480"/>
      <c r="F859" s="1480"/>
      <c r="G859" s="3"/>
      <c r="I859" s="490"/>
    </row>
    <row r="860" spans="1:9" ht="12.75" customHeight="1">
      <c r="A860" s="175"/>
      <c r="B860" s="175"/>
      <c r="C860" s="984"/>
      <c r="D860" s="1480"/>
      <c r="E860" s="1480"/>
      <c r="F860" s="1480"/>
      <c r="G860" s="3"/>
      <c r="I860" s="490"/>
    </row>
    <row r="861" spans="1:9" ht="12.75" customHeight="1">
      <c r="A861" s="175"/>
      <c r="B861" s="175"/>
      <c r="C861" s="984"/>
      <c r="D861" s="1480"/>
      <c r="E861" s="1480"/>
      <c r="F861" s="1480"/>
      <c r="G861" s="3"/>
      <c r="I861" s="490"/>
    </row>
    <row r="862" spans="1:9" ht="12.75" customHeight="1">
      <c r="A862" s="175"/>
      <c r="B862" s="175"/>
      <c r="C862" s="984"/>
      <c r="D862" s="1480"/>
      <c r="E862" s="1480"/>
      <c r="F862" s="1480"/>
      <c r="G862" s="3"/>
      <c r="I862" s="490"/>
    </row>
    <row r="863" spans="1:9" ht="12.75" customHeight="1">
      <c r="A863" s="175"/>
      <c r="B863" s="175"/>
      <c r="C863" s="984"/>
      <c r="D863" s="1480"/>
      <c r="E863" s="1480"/>
      <c r="F863" s="1480"/>
      <c r="G863" s="3"/>
      <c r="I863" s="490"/>
    </row>
    <row r="864" spans="1:9" ht="12.75" customHeight="1">
      <c r="A864" s="175"/>
      <c r="B864" s="175"/>
      <c r="C864" s="984"/>
      <c r="D864" s="1480"/>
      <c r="E864" s="1480"/>
      <c r="F864" s="1480"/>
      <c r="G864" s="3"/>
      <c r="I864" s="490"/>
    </row>
    <row r="865" spans="1:9" ht="12.75" customHeight="1">
      <c r="A865" s="175"/>
      <c r="B865" s="175"/>
      <c r="C865" s="984"/>
      <c r="D865" s="118"/>
      <c r="E865" s="3"/>
      <c r="F865" s="3"/>
      <c r="G865" s="3"/>
      <c r="I865" s="490"/>
    </row>
    <row r="866" spans="1:9" ht="12.75" customHeight="1">
      <c r="A866" s="175"/>
      <c r="B866" s="485" t="s">
        <v>307</v>
      </c>
      <c r="C866" s="984"/>
      <c r="D866" s="1480" t="s">
        <v>1756</v>
      </c>
      <c r="E866" s="1480"/>
      <c r="F866" s="1480"/>
      <c r="G866" s="3"/>
      <c r="I866" s="490" t="s">
        <v>1854</v>
      </c>
    </row>
    <row r="867" spans="1:9" ht="12.75" customHeight="1">
      <c r="A867" s="175"/>
      <c r="B867" s="175"/>
      <c r="C867" s="984"/>
      <c r="D867" s="1480" t="s">
        <v>1757</v>
      </c>
      <c r="E867" s="1480"/>
      <c r="F867" s="1480"/>
      <c r="G867" s="3"/>
      <c r="I867" s="490"/>
    </row>
    <row r="868" spans="1:9" ht="12.75" customHeight="1">
      <c r="A868" s="175"/>
      <c r="B868" s="175"/>
      <c r="C868" s="984"/>
      <c r="E868" s="1031" t="s">
        <v>1870</v>
      </c>
      <c r="F868" s="1033"/>
      <c r="G868" s="3"/>
      <c r="I868" s="490"/>
    </row>
    <row r="869" spans="1:9" ht="12.75" customHeight="1">
      <c r="A869" s="175"/>
      <c r="B869" s="175"/>
      <c r="C869" s="984"/>
      <c r="D869" s="118"/>
      <c r="E869" s="3"/>
      <c r="F869" s="3"/>
      <c r="G869" s="3"/>
      <c r="I869" s="490"/>
    </row>
    <row r="870" spans="1:9" ht="12.75" customHeight="1">
      <c r="A870" s="175"/>
      <c r="B870" s="485" t="s">
        <v>307</v>
      </c>
      <c r="C870" s="984"/>
      <c r="D870" s="1480" t="s">
        <v>1758</v>
      </c>
      <c r="E870" s="1480"/>
      <c r="F870" s="1480"/>
      <c r="G870" s="3"/>
      <c r="I870" s="490" t="s">
        <v>1857</v>
      </c>
    </row>
    <row r="871" spans="1:9" ht="12.75" customHeight="1">
      <c r="A871" s="175"/>
      <c r="B871" s="175"/>
      <c r="C871" s="984"/>
      <c r="D871" s="1480"/>
      <c r="E871" s="1480"/>
      <c r="F871" s="1480"/>
      <c r="G871" s="3"/>
      <c r="I871" s="490"/>
    </row>
    <row r="872" spans="1:9" ht="12.75" customHeight="1">
      <c r="A872" s="175"/>
      <c r="B872" s="175"/>
      <c r="C872" s="984"/>
      <c r="D872" s="1480"/>
      <c r="E872" s="1480"/>
      <c r="F872" s="1480"/>
      <c r="G872" s="3"/>
      <c r="I872" s="490"/>
    </row>
    <row r="873" spans="1:9" ht="12.75" customHeight="1">
      <c r="A873" s="175"/>
      <c r="B873" s="175"/>
      <c r="C873" s="984"/>
      <c r="D873" s="1480"/>
      <c r="E873" s="1480"/>
      <c r="F873" s="1480"/>
      <c r="G873" s="3"/>
      <c r="I873" s="490"/>
    </row>
    <row r="874" spans="1:9" ht="12.75" customHeight="1">
      <c r="A874" s="172"/>
      <c r="B874" s="172"/>
      <c r="C874" s="172"/>
      <c r="D874" s="118"/>
      <c r="E874" s="3"/>
      <c r="F874" s="3"/>
      <c r="G874" s="3"/>
      <c r="I874" s="490"/>
    </row>
    <row r="875" spans="1:9" ht="12.75" customHeight="1">
      <c r="A875" s="978" t="s">
        <v>1759</v>
      </c>
      <c r="B875" s="978"/>
      <c r="C875" s="988"/>
      <c r="D875" s="988"/>
      <c r="E875" s="988"/>
      <c r="F875" s="988"/>
      <c r="G875" s="988"/>
      <c r="H875" s="1023"/>
      <c r="I875" s="1147"/>
    </row>
    <row r="876" spans="1:9" ht="12.75" customHeight="1">
      <c r="A876" s="172"/>
      <c r="B876" s="172"/>
      <c r="C876" s="172"/>
      <c r="D876" s="989"/>
      <c r="E876" s="3"/>
      <c r="F876" s="3"/>
      <c r="G876" s="3"/>
      <c r="I876" s="490"/>
    </row>
    <row r="877" spans="1:9" ht="12.75" customHeight="1">
      <c r="A877" s="354"/>
      <c r="B877" s="354"/>
      <c r="C877" s="174"/>
      <c r="D877" s="1853" t="s">
        <v>1792</v>
      </c>
      <c r="E877" s="1853"/>
      <c r="F877" s="1853"/>
      <c r="G877" s="983"/>
      <c r="I877" s="490"/>
    </row>
    <row r="878" spans="1:9" ht="12.75" customHeight="1">
      <c r="A878" s="354"/>
      <c r="B878" s="354"/>
      <c r="C878" s="174"/>
      <c r="D878" s="1854" t="s">
        <v>1760</v>
      </c>
      <c r="E878" s="1854"/>
      <c r="F878" s="1854"/>
      <c r="G878" s="983"/>
      <c r="I878" s="490"/>
    </row>
    <row r="879" spans="1:9" ht="12.75" customHeight="1">
      <c r="A879" s="354"/>
      <c r="B879" s="354"/>
      <c r="C879" s="174"/>
      <c r="D879" s="990"/>
      <c r="E879" s="990"/>
      <c r="F879" s="990"/>
      <c r="G879" s="983"/>
      <c r="I879" s="490"/>
    </row>
    <row r="880" spans="1:9" ht="12.75" customHeight="1">
      <c r="A880" s="175"/>
      <c r="B880" s="485" t="s">
        <v>307</v>
      </c>
      <c r="C880" s="354"/>
      <c r="D880" s="1833" t="s">
        <v>1761</v>
      </c>
      <c r="E880" s="1833"/>
      <c r="F880" s="1833"/>
      <c r="G880" s="983"/>
      <c r="I880" s="490" t="s">
        <v>1854</v>
      </c>
    </row>
    <row r="881" spans="1:9" ht="12.75" customHeight="1">
      <c r="A881" s="354"/>
      <c r="B881" s="354"/>
      <c r="C881" s="354"/>
      <c r="D881" s="2" t="s">
        <v>1736</v>
      </c>
      <c r="E881" s="1031" t="s">
        <v>1870</v>
      </c>
      <c r="F881" s="1034"/>
      <c r="G881" s="983"/>
      <c r="I881" s="490"/>
    </row>
    <row r="882" spans="1:9" ht="12.75" customHeight="1">
      <c r="A882" s="354"/>
      <c r="B882" s="354"/>
      <c r="C882" s="354"/>
      <c r="D882" s="118"/>
      <c r="E882" s="983"/>
      <c r="F882" s="983"/>
      <c r="G882" s="983"/>
      <c r="I882" s="490"/>
    </row>
    <row r="883" spans="1:9" ht="12.75" customHeight="1">
      <c r="A883" s="175"/>
      <c r="B883" s="485" t="s">
        <v>307</v>
      </c>
      <c r="C883" s="354"/>
      <c r="D883" s="1480" t="s">
        <v>1762</v>
      </c>
      <c r="E883" s="1843"/>
      <c r="F883" s="1843"/>
      <c r="G883" s="3"/>
      <c r="I883" s="490" t="s">
        <v>1857</v>
      </c>
    </row>
    <row r="884" spans="1:9" ht="12.75" customHeight="1">
      <c r="A884" s="354"/>
      <c r="B884" s="354"/>
      <c r="C884" s="354"/>
      <c r="D884" s="1843"/>
      <c r="E884" s="1843"/>
      <c r="F884" s="1843"/>
      <c r="G884" s="3"/>
      <c r="I884" s="490"/>
    </row>
    <row r="885" spans="1:9" ht="12.75" customHeight="1">
      <c r="A885" s="354"/>
      <c r="B885" s="354"/>
      <c r="C885" s="354"/>
      <c r="D885" s="118"/>
      <c r="E885" s="3"/>
      <c r="F885" s="3"/>
      <c r="G885" s="3"/>
      <c r="I885" s="490"/>
    </row>
    <row r="886" spans="1:9" ht="12.75" customHeight="1">
      <c r="A886" s="354"/>
      <c r="B886" s="485" t="s">
        <v>307</v>
      </c>
      <c r="C886" s="354"/>
      <c r="D886" s="1844" t="s">
        <v>1763</v>
      </c>
      <c r="E886" s="1844"/>
      <c r="F886" s="1844"/>
      <c r="G886" s="983"/>
      <c r="I886" s="490"/>
    </row>
    <row r="887" spans="1:9" ht="12.75" customHeight="1">
      <c r="A887" s="354"/>
      <c r="B887" s="991"/>
      <c r="C887" s="354"/>
      <c r="D887" s="1844"/>
      <c r="E887" s="1844"/>
      <c r="F887" s="1844"/>
      <c r="G887" s="983"/>
      <c r="I887" s="490"/>
    </row>
    <row r="888" spans="1:9" ht="12.75" customHeight="1">
      <c r="A888" s="175"/>
      <c r="B888"/>
      <c r="C888" s="354"/>
      <c r="D888" s="1480" t="s">
        <v>2026</v>
      </c>
      <c r="E888" s="1480"/>
      <c r="F888" s="1480"/>
      <c r="G888" s="983"/>
      <c r="I888" s="490"/>
    </row>
    <row r="889" spans="1:9" ht="12.75" customHeight="1">
      <c r="A889" s="175"/>
      <c r="B889" s="175"/>
      <c r="C889" s="354"/>
      <c r="D889" s="1480"/>
      <c r="E889" s="1480"/>
      <c r="F889" s="1480"/>
      <c r="G889" s="983"/>
      <c r="I889" s="490"/>
    </row>
    <row r="890" spans="1:9" ht="12.75" customHeight="1">
      <c r="A890" s="175"/>
      <c r="B890" s="175"/>
      <c r="C890" s="354"/>
      <c r="D890" s="1480"/>
      <c r="E890" s="1480"/>
      <c r="F890" s="1480"/>
      <c r="G890" s="983"/>
      <c r="I890" s="490"/>
    </row>
    <row r="891" spans="1:9" ht="12.75" customHeight="1">
      <c r="A891" s="175"/>
      <c r="B891" s="175"/>
      <c r="C891" s="354"/>
      <c r="D891" s="1480"/>
      <c r="E891" s="1480"/>
      <c r="F891" s="1480"/>
      <c r="G891" s="983"/>
      <c r="I891" s="490"/>
    </row>
    <row r="892" spans="1:9" ht="12.75" customHeight="1">
      <c r="A892" s="175"/>
      <c r="B892" s="175"/>
      <c r="C892" s="354"/>
      <c r="D892" s="1480"/>
      <c r="E892" s="1480"/>
      <c r="F892" s="1480"/>
      <c r="G892" s="983"/>
      <c r="I892" s="490"/>
    </row>
    <row r="893" spans="1:9" ht="12.75" customHeight="1">
      <c r="A893" s="175"/>
      <c r="B893" s="175"/>
      <c r="C893" s="354"/>
      <c r="D893" s="1480"/>
      <c r="E893" s="1480"/>
      <c r="F893" s="1480"/>
      <c r="G893" s="983"/>
      <c r="I893" s="490"/>
    </row>
    <row r="894" spans="1:9" ht="12.75" customHeight="1">
      <c r="A894" s="175"/>
      <c r="B894" s="175"/>
      <c r="C894" s="354"/>
      <c r="D894" s="118"/>
      <c r="E894" s="983"/>
      <c r="F894" s="983"/>
      <c r="G894" s="983"/>
      <c r="I894" s="490"/>
    </row>
    <row r="895" spans="1:9" ht="12.75" customHeight="1">
      <c r="A895" s="175"/>
      <c r="B895" s="485" t="s">
        <v>307</v>
      </c>
      <c r="C895" s="354"/>
      <c r="D895" s="1834" t="s">
        <v>1756</v>
      </c>
      <c r="E895" s="1834"/>
      <c r="F895" s="1834"/>
      <c r="G895" s="983"/>
      <c r="I895" s="490"/>
    </row>
    <row r="896" spans="1:9" ht="12.75" customHeight="1">
      <c r="A896" s="175"/>
      <c r="B896" s="175"/>
      <c r="C896" s="354"/>
      <c r="D896" s="1834" t="s">
        <v>1757</v>
      </c>
      <c r="E896" s="1834"/>
      <c r="F896" s="1834"/>
      <c r="G896" s="983"/>
      <c r="I896" s="490"/>
    </row>
    <row r="897" spans="1:9" ht="12.75" customHeight="1">
      <c r="A897" s="175"/>
      <c r="B897" s="175"/>
      <c r="C897" s="354"/>
      <c r="D897" s="2" t="s">
        <v>1270</v>
      </c>
      <c r="E897" s="1031" t="s">
        <v>1870</v>
      </c>
      <c r="F897" s="1035"/>
      <c r="G897" s="983"/>
      <c r="I897" s="490"/>
    </row>
    <row r="898" spans="1:9" ht="12.75" customHeight="1">
      <c r="A898" s="175"/>
      <c r="B898" s="175"/>
      <c r="C898" s="354"/>
      <c r="D898" s="118"/>
      <c r="E898" s="983"/>
      <c r="F898" s="983"/>
      <c r="G898" s="983"/>
      <c r="I898" s="490"/>
    </row>
    <row r="899" spans="1:9" ht="12.75" customHeight="1">
      <c r="A899" s="175"/>
      <c r="B899" s="485" t="s">
        <v>307</v>
      </c>
      <c r="C899" s="354"/>
      <c r="D899" s="1480" t="s">
        <v>1758</v>
      </c>
      <c r="E899" s="1480"/>
      <c r="F899" s="1480"/>
      <c r="G899" s="983"/>
      <c r="I899" s="490"/>
    </row>
    <row r="900" spans="1:9" ht="12.75" customHeight="1">
      <c r="A900" s="175"/>
      <c r="B900" s="175"/>
      <c r="C900" s="354"/>
      <c r="D900" s="1480"/>
      <c r="E900" s="1480"/>
      <c r="F900" s="1480"/>
      <c r="G900" s="983"/>
      <c r="I900" s="490"/>
    </row>
    <row r="901" spans="1:9" ht="12.75" customHeight="1">
      <c r="A901" s="175"/>
      <c r="B901" s="175"/>
      <c r="C901" s="354"/>
      <c r="D901" s="1480"/>
      <c r="E901" s="1480"/>
      <c r="F901" s="1480"/>
      <c r="G901" s="983"/>
      <c r="I901" s="490"/>
    </row>
    <row r="902" spans="1:9" ht="12.75" customHeight="1">
      <c r="A902" s="175"/>
      <c r="B902" s="175"/>
      <c r="C902" s="354"/>
      <c r="D902" s="1480"/>
      <c r="E902" s="1480"/>
      <c r="F902" s="1480"/>
      <c r="G902" s="983"/>
      <c r="I902" s="490"/>
    </row>
    <row r="903" spans="1:9" ht="12.75" customHeight="1">
      <c r="A903" s="118"/>
      <c r="B903" s="118"/>
      <c r="C903" s="984"/>
      <c r="D903" s="983"/>
      <c r="E903" s="983"/>
      <c r="F903" s="983"/>
      <c r="G903" s="983"/>
      <c r="I903" s="490"/>
    </row>
    <row r="904" spans="1:9" ht="12.75" customHeight="1">
      <c r="A904" s="1841" t="s">
        <v>1793</v>
      </c>
      <c r="B904" s="1841"/>
      <c r="C904" s="1841"/>
      <c r="D904" s="1841"/>
      <c r="E904" s="1841"/>
      <c r="F904" s="1841"/>
      <c r="G904" s="1841"/>
      <c r="H904" s="1023"/>
      <c r="I904" s="1147"/>
    </row>
    <row r="905" spans="1:9" ht="12.75" customHeight="1">
      <c r="A905" s="57"/>
      <c r="B905" s="57"/>
      <c r="C905" s="57"/>
      <c r="D905" s="57"/>
      <c r="E905" s="57"/>
      <c r="F905" s="57"/>
      <c r="G905" s="57"/>
      <c r="I905" s="490"/>
    </row>
    <row r="906" spans="1:9" ht="12.75" customHeight="1">
      <c r="A906" s="57"/>
      <c r="B906" s="57"/>
      <c r="C906" s="57"/>
      <c r="D906" s="1857" t="s">
        <v>1799</v>
      </c>
      <c r="E906" s="1857"/>
      <c r="F906" s="1857"/>
      <c r="G906" s="57"/>
      <c r="I906" s="490"/>
    </row>
    <row r="907" spans="1:9" ht="12.75" customHeight="1">
      <c r="A907" s="57"/>
      <c r="B907" s="57"/>
      <c r="C907" s="57"/>
      <c r="D907" s="976"/>
      <c r="E907" s="976"/>
      <c r="F907" s="976"/>
      <c r="G907" s="57"/>
      <c r="I907" s="490"/>
    </row>
    <row r="908" spans="1:9" ht="12.75" customHeight="1">
      <c r="A908" s="57"/>
      <c r="B908" s="485" t="s">
        <v>307</v>
      </c>
      <c r="C908" s="57"/>
      <c r="D908" s="979" t="s">
        <v>1800</v>
      </c>
      <c r="E908" s="976"/>
      <c r="F908" s="976"/>
      <c r="G908" s="57"/>
      <c r="I908" s="490"/>
    </row>
    <row r="909" spans="1:9" ht="12.75" customHeight="1">
      <c r="A909" s="57"/>
      <c r="B909" s="57"/>
      <c r="C909" s="57"/>
      <c r="D909" s="976"/>
      <c r="E909" s="976"/>
      <c r="F909" s="976"/>
      <c r="G909" s="57"/>
      <c r="I909" s="490"/>
    </row>
    <row r="910" spans="1:9" ht="12.75" customHeight="1">
      <c r="A910" s="354"/>
      <c r="B910" s="354"/>
      <c r="C910" s="984"/>
      <c r="D910" s="1857" t="s">
        <v>1794</v>
      </c>
      <c r="E910" s="1857"/>
      <c r="F910" s="1857"/>
      <c r="G910" s="983"/>
      <c r="I910" s="490"/>
    </row>
    <row r="911" spans="1:9" ht="12.75" customHeight="1">
      <c r="A911" s="172"/>
      <c r="B911" s="172"/>
      <c r="C911" s="172"/>
      <c r="D911" s="1833" t="s">
        <v>1764</v>
      </c>
      <c r="E911" s="1833"/>
      <c r="F911" s="1833"/>
      <c r="G911" s="983"/>
      <c r="I911" s="490"/>
    </row>
    <row r="912" spans="1:9" ht="12.75" customHeight="1">
      <c r="A912" s="984"/>
      <c r="B912" s="984"/>
      <c r="C912" s="984"/>
      <c r="D912" s="2"/>
      <c r="E912" s="983"/>
      <c r="F912" s="983"/>
      <c r="G912" s="983"/>
      <c r="I912" s="490"/>
    </row>
    <row r="913" spans="1:9" ht="12.75" customHeight="1">
      <c r="A913" s="175"/>
      <c r="B913" s="485" t="s">
        <v>307</v>
      </c>
      <c r="C913" s="354"/>
      <c r="D913" s="1480" t="s">
        <v>1768</v>
      </c>
      <c r="E913" s="1480"/>
      <c r="F913" s="1480"/>
      <c r="G913" s="3"/>
      <c r="I913" s="490"/>
    </row>
    <row r="914" spans="1:9" ht="12.75" customHeight="1">
      <c r="A914" s="354"/>
      <c r="B914" s="354"/>
      <c r="C914" s="354"/>
      <c r="D914" s="1480"/>
      <c r="E914" s="1480"/>
      <c r="F914" s="1480"/>
      <c r="G914" s="3"/>
      <c r="I914" s="490"/>
    </row>
    <row r="915" spans="1:9" ht="12.75" customHeight="1">
      <c r="A915" s="172"/>
      <c r="B915" s="172"/>
      <c r="C915" s="172"/>
      <c r="D915" s="1480" t="s">
        <v>1767</v>
      </c>
      <c r="E915" s="1480"/>
      <c r="F915" s="1480"/>
      <c r="G915" s="983"/>
      <c r="I915" s="490"/>
    </row>
    <row r="916" spans="1:9" ht="12.75" customHeight="1">
      <c r="A916" s="172"/>
      <c r="B916" s="172"/>
      <c r="C916" s="172"/>
      <c r="D916" s="1480"/>
      <c r="E916" s="1480"/>
      <c r="F916" s="1480"/>
      <c r="G916" s="983"/>
      <c r="I916" s="490"/>
    </row>
    <row r="917" spans="1:9" ht="12.75" customHeight="1">
      <c r="A917" s="172"/>
      <c r="B917" s="172"/>
      <c r="C917" s="172"/>
      <c r="D917" s="3"/>
      <c r="E917" s="3"/>
      <c r="F917" s="983"/>
      <c r="G917" s="983"/>
      <c r="I917" s="490"/>
    </row>
    <row r="918" spans="1:9" ht="12.75" customHeight="1">
      <c r="A918" s="175"/>
      <c r="B918" s="485" t="s">
        <v>307</v>
      </c>
      <c r="C918" s="174"/>
      <c r="D918" s="1800" t="s">
        <v>1765</v>
      </c>
      <c r="E918" s="1800"/>
      <c r="F918" s="1800"/>
      <c r="G918" s="983"/>
      <c r="I918" s="490"/>
    </row>
    <row r="919" spans="1:9" ht="12.75" customHeight="1">
      <c r="A919" s="175"/>
      <c r="B919" s="175"/>
      <c r="C919" s="174"/>
      <c r="D919" s="1800"/>
      <c r="E919" s="1800"/>
      <c r="F919" s="1800"/>
      <c r="G919" s="983"/>
      <c r="I919" s="490"/>
    </row>
    <row r="920" spans="1:9" ht="12.75" customHeight="1">
      <c r="A920" s="175"/>
      <c r="B920" s="175"/>
      <c r="C920" s="174"/>
      <c r="D920" s="1800"/>
      <c r="E920" s="1800"/>
      <c r="F920" s="1800"/>
      <c r="G920" s="983"/>
      <c r="I920" s="490"/>
    </row>
    <row r="921" spans="1:9" ht="12.75" customHeight="1">
      <c r="A921" s="175"/>
      <c r="B921" s="175"/>
      <c r="C921" s="174"/>
      <c r="D921" s="1800"/>
      <c r="E921" s="1800"/>
      <c r="F921" s="1800"/>
      <c r="G921" s="983"/>
      <c r="I921" s="490"/>
    </row>
    <row r="922" spans="1:9" ht="12.75" customHeight="1">
      <c r="A922" s="175"/>
      <c r="B922" s="175"/>
      <c r="C922" s="174"/>
      <c r="D922" s="1800"/>
      <c r="E922" s="1800"/>
      <c r="F922" s="1800"/>
      <c r="G922" s="983"/>
      <c r="I922" s="490"/>
    </row>
    <row r="923" spans="1:9" ht="12.75" customHeight="1">
      <c r="A923" s="174"/>
      <c r="B923" s="174"/>
      <c r="C923" s="174"/>
      <c r="D923" s="1800"/>
      <c r="E923" s="1800"/>
      <c r="F923" s="1800"/>
      <c r="G923" s="983"/>
      <c r="I923" s="490"/>
    </row>
    <row r="924" spans="1:9" ht="12.75" customHeight="1">
      <c r="A924" s="174"/>
      <c r="B924" s="174"/>
      <c r="C924" s="174"/>
      <c r="D924" s="1800"/>
      <c r="E924" s="1800"/>
      <c r="F924" s="1800"/>
      <c r="G924" s="983"/>
      <c r="I924" s="490"/>
    </row>
    <row r="925" spans="1:9" ht="12.75" customHeight="1">
      <c r="A925" s="174"/>
      <c r="B925" s="174"/>
      <c r="C925" s="174"/>
      <c r="D925" s="1800"/>
      <c r="E925" s="1800"/>
      <c r="F925" s="1800"/>
      <c r="G925" s="983"/>
      <c r="I925" s="490"/>
    </row>
    <row r="926" spans="1:9" ht="12.75" customHeight="1">
      <c r="A926" s="174"/>
      <c r="B926" s="174"/>
      <c r="C926" s="174"/>
      <c r="D926" s="335"/>
      <c r="E926" s="335"/>
      <c r="F926" s="335"/>
      <c r="G926" s="983"/>
      <c r="I926" s="490"/>
    </row>
    <row r="927" spans="1:9" ht="12.75" customHeight="1">
      <c r="A927" s="984"/>
      <c r="B927" s="485" t="s">
        <v>307</v>
      </c>
      <c r="C927" s="984"/>
      <c r="D927" s="1480" t="s">
        <v>1769</v>
      </c>
      <c r="E927" s="1480"/>
      <c r="F927" s="1480"/>
      <c r="G927" s="983"/>
      <c r="I927" s="490"/>
    </row>
    <row r="928" spans="1:9" ht="12.75" customHeight="1">
      <c r="A928" s="984"/>
      <c r="B928" s="984"/>
      <c r="C928" s="984"/>
      <c r="D928" s="1480"/>
      <c r="E928" s="1480"/>
      <c r="F928" s="1480"/>
      <c r="G928" s="983"/>
      <c r="I928" s="490"/>
    </row>
    <row r="929" spans="1:9" ht="12.75" customHeight="1">
      <c r="A929" s="984"/>
      <c r="B929" s="984"/>
      <c r="C929" s="984"/>
      <c r="D929" s="983"/>
      <c r="E929" s="983"/>
      <c r="F929" s="983"/>
      <c r="G929" s="983"/>
      <c r="I929" s="490"/>
    </row>
    <row r="930" spans="1:9" ht="12.75" customHeight="1">
      <c r="A930" s="984"/>
      <c r="B930" s="485" t="s">
        <v>307</v>
      </c>
      <c r="C930" s="984"/>
      <c r="D930" s="1823" t="s">
        <v>1770</v>
      </c>
      <c r="E930" s="1823"/>
      <c r="F930" s="1823"/>
      <c r="G930" s="983"/>
      <c r="I930" s="490"/>
    </row>
    <row r="931" spans="1:9" ht="12.75" customHeight="1">
      <c r="A931" s="984"/>
      <c r="B931" s="984"/>
      <c r="C931" s="984"/>
      <c r="D931" s="1823"/>
      <c r="E931" s="1823"/>
      <c r="F931" s="1823"/>
      <c r="G931" s="983"/>
      <c r="I931" s="490"/>
    </row>
    <row r="932" spans="1:9" ht="12.75" customHeight="1">
      <c r="A932" s="984"/>
      <c r="B932" s="984"/>
      <c r="C932" s="984"/>
      <c r="D932" s="1823"/>
      <c r="E932" s="1823"/>
      <c r="F932" s="1823"/>
      <c r="G932" s="983"/>
      <c r="I932" s="490"/>
    </row>
    <row r="933" spans="1:9" ht="12.75" customHeight="1">
      <c r="A933" s="984"/>
      <c r="B933" s="984"/>
      <c r="C933" s="984"/>
      <c r="D933" s="1823"/>
      <c r="E933" s="1823"/>
      <c r="F933" s="1823"/>
      <c r="G933" s="983"/>
      <c r="I933" s="490"/>
    </row>
    <row r="934" spans="1:9" ht="12.75" customHeight="1">
      <c r="A934" s="984"/>
      <c r="B934" s="984"/>
      <c r="C934" s="984"/>
      <c r="D934" s="118"/>
      <c r="E934" s="983"/>
      <c r="F934" s="983"/>
      <c r="G934" s="983"/>
      <c r="I934" s="490"/>
    </row>
    <row r="935" spans="1:9" ht="12.75" customHeight="1">
      <c r="A935" s="984"/>
      <c r="B935" s="485" t="s">
        <v>307</v>
      </c>
      <c r="C935" s="984"/>
      <c r="D935" s="1833" t="s">
        <v>2027</v>
      </c>
      <c r="E935" s="1833"/>
      <c r="F935" s="1833"/>
      <c r="G935" s="983"/>
      <c r="I935" s="490"/>
    </row>
    <row r="936" spans="1:9" ht="12.75" customHeight="1">
      <c r="A936" s="984"/>
      <c r="B936" s="984"/>
      <c r="C936" s="984"/>
      <c r="D936" s="118"/>
      <c r="E936" s="983"/>
      <c r="F936" s="983"/>
      <c r="G936" s="983"/>
      <c r="I936" s="490"/>
    </row>
    <row r="937" spans="1:9" ht="12.75" customHeight="1">
      <c r="A937" s="984"/>
      <c r="B937" s="485" t="s">
        <v>307</v>
      </c>
      <c r="C937" s="984"/>
      <c r="D937" s="1833" t="s">
        <v>2028</v>
      </c>
      <c r="E937" s="1833"/>
      <c r="F937" s="1833"/>
      <c r="G937" s="983"/>
      <c r="I937" s="490"/>
    </row>
    <row r="938" spans="1:9" ht="12.75" customHeight="1">
      <c r="A938" s="174"/>
      <c r="B938" s="174"/>
      <c r="C938" s="174"/>
      <c r="D938" s="2"/>
      <c r="E938" s="3"/>
      <c r="F938" s="983"/>
      <c r="G938" s="983"/>
      <c r="I938" s="490"/>
    </row>
    <row r="939" spans="1:9" ht="12.75" customHeight="1">
      <c r="A939" s="992"/>
      <c r="B939" s="485" t="s">
        <v>307</v>
      </c>
      <c r="C939" s="993"/>
      <c r="D939" s="1800" t="s">
        <v>1766</v>
      </c>
      <c r="E939" s="1800"/>
      <c r="F939" s="1800"/>
      <c r="G939" s="994"/>
      <c r="I939" s="490"/>
    </row>
    <row r="940" spans="1:9" ht="12.75" customHeight="1">
      <c r="A940" s="992"/>
      <c r="B940" s="992"/>
      <c r="C940" s="993"/>
      <c r="D940" s="1800"/>
      <c r="E940" s="1800"/>
      <c r="F940" s="1800"/>
      <c r="G940" s="994"/>
      <c r="I940" s="490"/>
    </row>
    <row r="941" spans="1:9" ht="12.75" customHeight="1">
      <c r="A941" s="992"/>
      <c r="B941" s="992"/>
      <c r="C941" s="993"/>
      <c r="D941" s="1800"/>
      <c r="E941" s="1800"/>
      <c r="F941" s="1800"/>
      <c r="G941" s="994"/>
      <c r="I941" s="490"/>
    </row>
    <row r="942" spans="1:9" ht="12.75" customHeight="1">
      <c r="A942" s="992"/>
      <c r="B942" s="992"/>
      <c r="C942" s="993"/>
      <c r="D942" s="1800"/>
      <c r="E942" s="1800"/>
      <c r="F942" s="1800"/>
      <c r="G942" s="994"/>
      <c r="I942" s="490"/>
    </row>
    <row r="943" spans="1:9" ht="12.75" customHeight="1">
      <c r="A943" s="992"/>
      <c r="B943" s="992"/>
      <c r="C943" s="993"/>
      <c r="D943" s="1800"/>
      <c r="E943" s="1800"/>
      <c r="F943" s="1800"/>
      <c r="G943" s="994"/>
      <c r="I943" s="490"/>
    </row>
    <row r="944" spans="1:9" ht="12.75" customHeight="1">
      <c r="A944" s="992"/>
      <c r="B944" s="992"/>
      <c r="C944" s="993"/>
      <c r="D944" s="1800"/>
      <c r="E944" s="1800"/>
      <c r="F944" s="1800"/>
      <c r="G944" s="994"/>
      <c r="I944" s="490"/>
    </row>
    <row r="945" spans="1:9" ht="12.75" customHeight="1">
      <c r="A945" s="992"/>
      <c r="B945" s="992"/>
      <c r="C945" s="993"/>
      <c r="D945" s="1800"/>
      <c r="E945" s="1800"/>
      <c r="F945" s="1800"/>
      <c r="G945" s="994"/>
      <c r="I945" s="490"/>
    </row>
    <row r="946" spans="1:9" ht="12.75" customHeight="1">
      <c r="A946" s="992"/>
      <c r="B946" s="992"/>
      <c r="C946" s="993"/>
      <c r="D946" s="1800"/>
      <c r="E946" s="1800"/>
      <c r="F946" s="1800"/>
      <c r="G946" s="994"/>
      <c r="I946" s="490"/>
    </row>
    <row r="947" spans="1:9" ht="12.75" customHeight="1">
      <c r="A947" s="992"/>
      <c r="B947" s="992"/>
      <c r="C947" s="993"/>
      <c r="D947" s="1800"/>
      <c r="E947" s="1800"/>
      <c r="F947" s="1800"/>
      <c r="G947" s="994"/>
      <c r="I947" s="490"/>
    </row>
    <row r="948" spans="1:9" ht="12.75" customHeight="1">
      <c r="A948" s="174"/>
      <c r="B948" s="174"/>
      <c r="C948" s="174"/>
      <c r="D948" s="2"/>
      <c r="E948" s="3"/>
      <c r="F948" s="983"/>
      <c r="G948" s="983"/>
      <c r="I948" s="490"/>
    </row>
    <row r="949" spans="1:9" ht="12.75" customHeight="1">
      <c r="A949" s="175"/>
      <c r="B949" s="485" t="s">
        <v>307</v>
      </c>
      <c r="C949" s="174"/>
      <c r="D949" s="1858" t="s">
        <v>1860</v>
      </c>
      <c r="E949" s="1858"/>
      <c r="F949" s="1858"/>
      <c r="G949" s="983"/>
      <c r="I949" s="490"/>
    </row>
    <row r="950" spans="1:9" ht="12.75" customHeight="1">
      <c r="A950" s="175"/>
      <c r="B950" s="175"/>
      <c r="C950" s="174"/>
      <c r="D950" s="1858"/>
      <c r="E950" s="1858"/>
      <c r="F950" s="1858"/>
      <c r="G950" s="983"/>
      <c r="I950" s="490"/>
    </row>
    <row r="951" spans="1:9" ht="12.75" customHeight="1">
      <c r="A951" s="175"/>
      <c r="B951" s="175"/>
      <c r="C951" s="174"/>
      <c r="D951" s="1858"/>
      <c r="E951" s="1858"/>
      <c r="F951" s="1858"/>
      <c r="G951" s="983"/>
      <c r="I951" s="490"/>
    </row>
    <row r="952" spans="1:9" ht="12.75" customHeight="1">
      <c r="A952" s="175"/>
      <c r="B952" s="175"/>
      <c r="C952" s="174"/>
      <c r="D952" s="1858"/>
      <c r="E952" s="1858"/>
      <c r="F952" s="1858"/>
      <c r="G952" s="983"/>
      <c r="I952" s="490"/>
    </row>
    <row r="953" spans="1:9" ht="12.75" customHeight="1">
      <c r="A953" s="175"/>
      <c r="B953" s="175"/>
      <c r="C953" s="174"/>
      <c r="D953" s="1858"/>
      <c r="E953" s="1858"/>
      <c r="F953" s="1858"/>
      <c r="G953" s="983"/>
      <c r="I953" s="490"/>
    </row>
    <row r="954" spans="1:9" ht="12.75" customHeight="1">
      <c r="A954" s="175"/>
      <c r="B954" s="175"/>
      <c r="C954" s="174"/>
      <c r="D954" s="1858"/>
      <c r="E954" s="1858"/>
      <c r="F954" s="1858"/>
      <c r="G954" s="983"/>
      <c r="I954" s="490"/>
    </row>
    <row r="955" spans="1:9" ht="12.75" customHeight="1">
      <c r="A955" s="175"/>
      <c r="B955" s="175"/>
      <c r="C955" s="174"/>
      <c r="D955" s="1858"/>
      <c r="E955" s="1858"/>
      <c r="F955" s="1858"/>
      <c r="G955" s="983"/>
      <c r="I955" s="490"/>
    </row>
    <row r="956" spans="1:9" ht="12.75" customHeight="1">
      <c r="A956" s="175"/>
      <c r="B956" s="175"/>
      <c r="C956" s="174"/>
      <c r="D956" s="1021"/>
      <c r="E956" s="1021"/>
      <c r="F956" s="1021"/>
      <c r="G956" s="983"/>
      <c r="I956" s="490"/>
    </row>
    <row r="957" spans="1:9" ht="12.75" customHeight="1">
      <c r="A957" s="175"/>
      <c r="B957" s="485" t="s">
        <v>307</v>
      </c>
      <c r="C957" s="174"/>
      <c r="D957" s="1799" t="s">
        <v>2092</v>
      </c>
      <c r="E957" s="1799"/>
      <c r="F957" s="1799"/>
      <c r="G957" s="983"/>
      <c r="I957" s="490"/>
    </row>
    <row r="958" spans="1:9" ht="12.75" customHeight="1">
      <c r="A958" s="175"/>
      <c r="B958" s="175"/>
      <c r="C958" s="174"/>
      <c r="D958" s="1799"/>
      <c r="E958" s="1799"/>
      <c r="F958" s="1799"/>
      <c r="G958" s="983"/>
      <c r="I958" s="490"/>
    </row>
    <row r="959" spans="1:9" ht="12.75" customHeight="1">
      <c r="A959" s="175"/>
      <c r="B959" s="175"/>
      <c r="C959" s="174"/>
      <c r="D959" s="1799"/>
      <c r="E959" s="1799"/>
      <c r="F959" s="1799"/>
      <c r="G959" s="983"/>
      <c r="I959" s="490"/>
    </row>
    <row r="960" spans="1:9" ht="12.75" customHeight="1">
      <c r="A960" s="175"/>
      <c r="B960" s="175"/>
      <c r="C960" s="174"/>
      <c r="D960" s="1799"/>
      <c r="E960" s="1799"/>
      <c r="F960" s="1799"/>
      <c r="G960" s="983"/>
      <c r="I960" s="490"/>
    </row>
    <row r="961" spans="1:9" ht="12.75" customHeight="1">
      <c r="A961" s="175"/>
      <c r="B961" s="175"/>
      <c r="C961" s="174"/>
      <c r="D961" s="1799"/>
      <c r="E961" s="1799"/>
      <c r="F961" s="1799"/>
      <c r="G961" s="983"/>
      <c r="I961" s="490"/>
    </row>
    <row r="962" spans="1:9" ht="12.75" customHeight="1">
      <c r="A962" s="175"/>
      <c r="B962" s="175"/>
      <c r="C962" s="174"/>
      <c r="D962" s="1799"/>
      <c r="E962" s="1799"/>
      <c r="F962" s="1799"/>
      <c r="G962" s="983"/>
      <c r="I962" s="490"/>
    </row>
    <row r="963" spans="1:9" ht="12.75" customHeight="1">
      <c r="A963" s="175"/>
      <c r="B963" s="175"/>
      <c r="C963" s="174"/>
      <c r="D963" s="1021"/>
      <c r="E963" s="1021"/>
      <c r="F963" s="1021"/>
      <c r="G963" s="983"/>
      <c r="I963" s="490"/>
    </row>
    <row r="964" spans="1:9" ht="12.75" customHeight="1">
      <c r="A964" s="984"/>
      <c r="B964" s="485" t="s">
        <v>307</v>
      </c>
      <c r="C964" s="984"/>
      <c r="D964" s="1823" t="s">
        <v>1771</v>
      </c>
      <c r="E964" s="1823"/>
      <c r="F964" s="1823"/>
      <c r="G964" s="983"/>
      <c r="I964" s="490"/>
    </row>
    <row r="965" spans="1:9" ht="12.75" customHeight="1">
      <c r="A965" s="984"/>
      <c r="B965" s="984"/>
      <c r="C965" s="984"/>
      <c r="D965" s="1823"/>
      <c r="E965" s="1823"/>
      <c r="F965" s="1823"/>
      <c r="G965" s="983"/>
      <c r="I965" s="490"/>
    </row>
    <row r="966" spans="1:9" ht="12.75" customHeight="1">
      <c r="A966" s="984"/>
      <c r="B966" s="984"/>
      <c r="C966" s="984"/>
      <c r="D966" s="1823"/>
      <c r="E966" s="1823"/>
      <c r="F966" s="1823"/>
      <c r="G966" s="983"/>
      <c r="I966" s="490"/>
    </row>
    <row r="967" spans="1:9" ht="12.75" customHeight="1">
      <c r="A967" s="175"/>
      <c r="B967" s="175"/>
      <c r="C967" s="174"/>
      <c r="D967" s="1021"/>
      <c r="E967" s="1021"/>
      <c r="F967" s="1021"/>
      <c r="G967" s="983"/>
      <c r="I967" s="490"/>
    </row>
    <row r="968" spans="1:9" ht="12.75" customHeight="1">
      <c r="A968" s="175"/>
      <c r="B968" s="175"/>
      <c r="C968" s="174"/>
      <c r="D968" s="840"/>
      <c r="E968" s="3"/>
      <c r="F968" s="983"/>
      <c r="G968" s="983"/>
      <c r="I968" s="490"/>
    </row>
    <row r="969" spans="1:9" ht="12.75" customHeight="1">
      <c r="A969" s="175"/>
      <c r="B969" s="485" t="s">
        <v>307</v>
      </c>
      <c r="C969" s="174"/>
      <c r="D969" s="1800" t="s">
        <v>1859</v>
      </c>
      <c r="E969" s="1800"/>
      <c r="F969" s="1800"/>
      <c r="G969" s="983"/>
      <c r="I969" s="490"/>
    </row>
    <row r="970" spans="1:9" ht="12.75" customHeight="1">
      <c r="A970" s="175"/>
      <c r="B970" s="175"/>
      <c r="C970" s="174"/>
      <c r="D970" s="1800"/>
      <c r="E970" s="1800"/>
      <c r="F970" s="1800"/>
      <c r="G970" s="983"/>
      <c r="I970" s="490"/>
    </row>
    <row r="971" spans="1:9" ht="12.75" customHeight="1">
      <c r="A971" s="175"/>
      <c r="B971" s="175"/>
      <c r="C971" s="174"/>
      <c r="D971" s="1800"/>
      <c r="E971" s="1800"/>
      <c r="F971" s="1800"/>
      <c r="G971" s="983"/>
      <c r="I971" s="490"/>
    </row>
    <row r="972" spans="1:9" ht="12.75" customHeight="1">
      <c r="A972" s="175"/>
      <c r="B972" s="175"/>
      <c r="C972" s="174"/>
      <c r="D972" s="1800"/>
      <c r="E972" s="1800"/>
      <c r="F972" s="1800"/>
      <c r="G972" s="983"/>
      <c r="I972" s="490"/>
    </row>
    <row r="973" spans="1:9" ht="12.75" customHeight="1">
      <c r="A973" s="984"/>
      <c r="B973" s="984"/>
      <c r="C973" s="984"/>
      <c r="D973" s="975"/>
      <c r="E973" s="975"/>
      <c r="F973" s="975"/>
      <c r="G973" s="975"/>
      <c r="I973" s="490"/>
    </row>
    <row r="974" spans="1:9" ht="12.75" customHeight="1">
      <c r="A974" s="354"/>
      <c r="B974" s="354"/>
      <c r="C974" s="354"/>
      <c r="D974" s="1853" t="s">
        <v>1772</v>
      </c>
      <c r="E974" s="1853"/>
      <c r="F974" s="1853"/>
      <c r="G974" s="3"/>
      <c r="I974" s="490"/>
    </row>
    <row r="975" spans="1:9" ht="12.75" customHeight="1">
      <c r="A975" s="175"/>
      <c r="B975" s="485" t="s">
        <v>307</v>
      </c>
      <c r="C975" s="354"/>
      <c r="D975" s="1833" t="s">
        <v>1795</v>
      </c>
      <c r="E975" s="1833"/>
      <c r="F975" s="1833"/>
      <c r="G975" s="3"/>
      <c r="I975" s="490"/>
    </row>
    <row r="976" spans="1:9" ht="12.75" customHeight="1">
      <c r="A976" s="354"/>
      <c r="B976" s="354"/>
      <c r="C976" s="354"/>
      <c r="D976" s="3"/>
      <c r="E976" s="3"/>
      <c r="F976" s="3"/>
      <c r="G976" s="3"/>
      <c r="I976" s="490"/>
    </row>
    <row r="977" spans="1:9" ht="12.75" customHeight="1">
      <c r="A977" s="354"/>
      <c r="B977" s="354"/>
      <c r="C977" s="354"/>
      <c r="D977" s="1853" t="s">
        <v>1773</v>
      </c>
      <c r="E977" s="1853"/>
      <c r="F977" s="1853"/>
      <c r="G977"/>
      <c r="I977" s="490"/>
    </row>
    <row r="978" spans="1:9" ht="12.75" customHeight="1">
      <c r="A978" s="175"/>
      <c r="B978" s="485" t="s">
        <v>307</v>
      </c>
      <c r="C978" s="354"/>
      <c r="D978" s="1480" t="s">
        <v>2029</v>
      </c>
      <c r="E978" s="1480"/>
      <c r="F978" s="1480"/>
      <c r="G978"/>
      <c r="I978" s="490"/>
    </row>
    <row r="979" spans="1:9" ht="12.75" customHeight="1">
      <c r="A979" s="175"/>
      <c r="B979" s="175"/>
      <c r="C979" s="354"/>
      <c r="D979" s="1480"/>
      <c r="E979" s="1480"/>
      <c r="F979" s="1480"/>
      <c r="G979"/>
      <c r="I979" s="490"/>
    </row>
    <row r="980" spans="1:9" ht="12.75" customHeight="1">
      <c r="A980" s="175"/>
      <c r="B980" s="175"/>
      <c r="C980" s="354"/>
      <c r="D980" s="1480"/>
      <c r="E980" s="1480"/>
      <c r="F980" s="1480"/>
      <c r="G980"/>
      <c r="I980" s="490"/>
    </row>
    <row r="981" spans="1:9" ht="12.75" customHeight="1">
      <c r="A981" s="175"/>
      <c r="B981" s="175"/>
      <c r="C981" s="354"/>
      <c r="D981" s="1480"/>
      <c r="E981" s="1480"/>
      <c r="F981" s="1480"/>
      <c r="G981"/>
      <c r="I981" s="490"/>
    </row>
    <row r="982" spans="1:9" ht="12.75" customHeight="1">
      <c r="A982" s="175"/>
      <c r="B982" s="175"/>
      <c r="C982" s="354"/>
      <c r="D982" s="1480"/>
      <c r="E982" s="1480"/>
      <c r="F982" s="1480"/>
      <c r="G982"/>
      <c r="I982" s="490"/>
    </row>
    <row r="983" spans="1:9" ht="12.75" customHeight="1">
      <c r="A983" s="175"/>
      <c r="B983" s="175"/>
      <c r="C983" s="354"/>
      <c r="D983" s="1480"/>
      <c r="E983" s="1480"/>
      <c r="F983" s="1480"/>
      <c r="G983"/>
      <c r="I983" s="490"/>
    </row>
    <row r="984" spans="1:9" ht="12.75" customHeight="1">
      <c r="A984" s="175"/>
      <c r="B984" s="175"/>
      <c r="C984" s="354"/>
      <c r="D984" s="1480"/>
      <c r="E984" s="1480"/>
      <c r="F984" s="1480"/>
      <c r="G984"/>
      <c r="I984" s="490"/>
    </row>
    <row r="985" spans="1:9" ht="12.75" customHeight="1">
      <c r="A985" s="175"/>
      <c r="B985" s="175"/>
      <c r="C985" s="354"/>
      <c r="D985" s="1480"/>
      <c r="E985" s="1480"/>
      <c r="F985" s="1480"/>
      <c r="G985"/>
      <c r="I985" s="490"/>
    </row>
    <row r="986" spans="1:9" ht="12.75" customHeight="1">
      <c r="A986" s="175"/>
      <c r="B986" s="175"/>
      <c r="C986" s="354"/>
      <c r="D986" s="1480"/>
      <c r="E986" s="1480"/>
      <c r="F986" s="1480"/>
      <c r="G986"/>
      <c r="I986" s="490"/>
    </row>
    <row r="987" spans="1:9" ht="12.75" customHeight="1">
      <c r="A987" s="175"/>
      <c r="B987" s="175"/>
      <c r="C987" s="354"/>
      <c r="D987" s="1480"/>
      <c r="E987" s="1480"/>
      <c r="F987" s="1480"/>
      <c r="G987"/>
      <c r="I987" s="490"/>
    </row>
    <row r="988" spans="1:9" ht="12.75" customHeight="1">
      <c r="A988" s="175"/>
      <c r="B988" s="175"/>
      <c r="C988" s="354"/>
      <c r="D988" s="1480"/>
      <c r="E988" s="1480"/>
      <c r="F988" s="1480"/>
      <c r="G988"/>
      <c r="I988" s="490"/>
    </row>
    <row r="989" spans="1:9" ht="12.75" customHeight="1">
      <c r="A989" s="175"/>
      <c r="B989" s="175"/>
      <c r="C989" s="354"/>
      <c r="D989" s="1480"/>
      <c r="E989" s="1480"/>
      <c r="F989" s="1480"/>
      <c r="G989"/>
      <c r="I989" s="490"/>
    </row>
    <row r="990" spans="1:9" ht="12.75" customHeight="1">
      <c r="A990" s="175"/>
      <c r="B990" s="175"/>
      <c r="C990" s="354"/>
      <c r="D990" s="1480"/>
      <c r="E990" s="1480"/>
      <c r="F990" s="1480"/>
      <c r="G990"/>
      <c r="I990" s="490"/>
    </row>
    <row r="991" spans="1:9" ht="12.75" customHeight="1">
      <c r="A991" s="175"/>
      <c r="B991" s="175"/>
      <c r="C991" s="354"/>
      <c r="D991" s="1480"/>
      <c r="E991" s="1480"/>
      <c r="F991" s="1480"/>
      <c r="G991"/>
      <c r="I991" s="490"/>
    </row>
    <row r="992" spans="1:9" ht="12.75" customHeight="1">
      <c r="A992" s="175"/>
      <c r="B992" s="175"/>
      <c r="C992" s="354"/>
      <c r="D992" s="1480"/>
      <c r="E992" s="1480"/>
      <c r="F992" s="1480"/>
      <c r="G992" s="3"/>
      <c r="I992" s="490"/>
    </row>
    <row r="993" spans="1:9" ht="12.75" customHeight="1">
      <c r="A993" s="354"/>
      <c r="B993" s="354"/>
      <c r="C993" s="354"/>
      <c r="D993" s="3"/>
      <c r="E993" s="3"/>
      <c r="F993" s="3"/>
      <c r="G993" s="3"/>
      <c r="I993" s="490"/>
    </row>
    <row r="994" spans="1:9" ht="12.75" customHeight="1">
      <c r="A994" s="1841" t="s">
        <v>1774</v>
      </c>
      <c r="B994" s="1841"/>
      <c r="C994" s="1841"/>
      <c r="D994" s="1841"/>
      <c r="E994" s="1841"/>
      <c r="F994" s="1841"/>
      <c r="G994" s="1841"/>
      <c r="H994" s="1023"/>
      <c r="I994" s="1147"/>
    </row>
    <row r="995" spans="1:9" ht="12.75" customHeight="1">
      <c r="A995" s="118"/>
      <c r="B995" s="118"/>
      <c r="C995" s="354"/>
      <c r="D995" s="3"/>
      <c r="E995" s="3"/>
      <c r="F995" s="3"/>
      <c r="G995" s="3"/>
      <c r="I995" s="490"/>
    </row>
    <row r="996" spans="1:9" ht="12.75" customHeight="1">
      <c r="A996" s="354"/>
      <c r="B996" s="354"/>
      <c r="C996" s="984"/>
      <c r="D996" s="1853" t="s">
        <v>1796</v>
      </c>
      <c r="E996" s="1853"/>
      <c r="F996" s="1853"/>
      <c r="G996" s="3"/>
      <c r="I996" s="490"/>
    </row>
    <row r="997" spans="1:9" ht="12.75" customHeight="1">
      <c r="A997" s="172"/>
      <c r="B997" s="172"/>
      <c r="C997" s="172"/>
      <c r="D997" s="1833" t="s">
        <v>1775</v>
      </c>
      <c r="E997" s="1833"/>
      <c r="F997" s="1833"/>
      <c r="G997" s="3"/>
      <c r="I997" s="490"/>
    </row>
    <row r="998" spans="1:9" ht="12.75" customHeight="1">
      <c r="A998" s="172"/>
      <c r="B998" s="172"/>
      <c r="C998" s="172"/>
      <c r="D998" s="3"/>
      <c r="E998" s="3"/>
      <c r="F998" s="983"/>
      <c r="G998"/>
      <c r="I998" s="490"/>
    </row>
    <row r="999" spans="1:9" ht="12.75" customHeight="1">
      <c r="A999" s="354"/>
      <c r="B999" s="485" t="s">
        <v>307</v>
      </c>
      <c r="C999" s="354"/>
      <c r="D999" s="1861" t="s">
        <v>1888</v>
      </c>
      <c r="E999" s="1861"/>
      <c r="F999" s="1861"/>
      <c r="G999"/>
      <c r="I999" s="490"/>
    </row>
    <row r="1000" spans="1:9" ht="12.75" customHeight="1">
      <c r="A1000" s="354"/>
      <c r="B1000" s="354"/>
      <c r="C1000" s="354"/>
      <c r="D1000" s="1861"/>
      <c r="E1000" s="1861"/>
      <c r="F1000" s="1861"/>
      <c r="G1000"/>
      <c r="I1000" s="490"/>
    </row>
    <row r="1001" spans="1:9" ht="12.75" customHeight="1">
      <c r="A1001" s="354"/>
      <c r="B1001" s="354"/>
      <c r="C1001" s="354"/>
      <c r="D1001" s="1033"/>
      <c r="E1001" s="1031" t="s">
        <v>1889</v>
      </c>
      <c r="F1001" s="1033"/>
      <c r="G1001"/>
      <c r="I1001" s="490"/>
    </row>
    <row r="1002" spans="1:9" ht="12.75" customHeight="1">
      <c r="A1002" s="354"/>
      <c r="B1002" s="354"/>
      <c r="C1002" s="354"/>
      <c r="D1002" s="1502" t="s">
        <v>1887</v>
      </c>
      <c r="E1002" s="1502"/>
      <c r="F1002" s="1502"/>
      <c r="G1002"/>
      <c r="I1002" s="490"/>
    </row>
    <row r="1003" spans="1:9" ht="12.75" customHeight="1">
      <c r="A1003" s="354"/>
      <c r="B1003" s="354"/>
      <c r="C1003" s="354"/>
      <c r="D1003" s="1502"/>
      <c r="E1003" s="1502"/>
      <c r="F1003" s="1502"/>
      <c r="G1003"/>
      <c r="I1003" s="490"/>
    </row>
    <row r="1004" spans="1:9" ht="12.75" customHeight="1">
      <c r="A1004" s="174"/>
      <c r="B1004" s="174"/>
      <c r="C1004" s="174"/>
      <c r="D1004" s="1502"/>
      <c r="E1004" s="1502"/>
      <c r="F1004" s="1502"/>
      <c r="G1004"/>
      <c r="I1004" s="490"/>
    </row>
    <row r="1005" spans="1:9" ht="12.75" customHeight="1">
      <c r="A1005" s="174"/>
      <c r="B1005" s="174"/>
      <c r="C1005" s="174"/>
      <c r="D1005" s="1502"/>
      <c r="E1005" s="1502"/>
      <c r="F1005" s="1502"/>
      <c r="G1005"/>
      <c r="I1005" s="490"/>
    </row>
    <row r="1006" spans="1:9" ht="12.75" customHeight="1">
      <c r="A1006" s="174"/>
      <c r="B1006" s="174"/>
      <c r="C1006" s="174"/>
      <c r="D1006" s="335"/>
      <c r="E1006" s="335"/>
      <c r="F1006" s="335"/>
      <c r="G1006"/>
      <c r="I1006" s="490"/>
    </row>
    <row r="1007" spans="1:9" ht="12.75" customHeight="1">
      <c r="A1007" s="174"/>
      <c r="B1007" s="485" t="s">
        <v>307</v>
      </c>
      <c r="C1007" s="174"/>
      <c r="D1007" s="1480" t="s">
        <v>1776</v>
      </c>
      <c r="E1007" s="1480"/>
      <c r="F1007" s="1480"/>
      <c r="G1007"/>
      <c r="I1007" s="490"/>
    </row>
    <row r="1008" spans="1:9" ht="12.75" customHeight="1">
      <c r="A1008" s="174"/>
      <c r="B1008" s="174"/>
      <c r="C1008" s="174"/>
      <c r="D1008" s="1480"/>
      <c r="E1008" s="1480"/>
      <c r="F1008" s="1480"/>
      <c r="G1008"/>
      <c r="I1008" s="490"/>
    </row>
    <row r="1009" spans="1:9" ht="12.75" customHeight="1">
      <c r="A1009" s="174"/>
      <c r="B1009" s="174"/>
      <c r="C1009" s="174"/>
      <c r="D1009" s="1480"/>
      <c r="E1009" s="1480"/>
      <c r="F1009" s="1480"/>
      <c r="G1009"/>
      <c r="I1009" s="490"/>
    </row>
    <row r="1010" spans="1:9" ht="12.75" customHeight="1">
      <c r="A1010" s="174"/>
      <c r="B1010" s="174"/>
      <c r="C1010" s="174"/>
      <c r="D1010" s="1480"/>
      <c r="E1010" s="1480"/>
      <c r="F1010" s="1480"/>
      <c r="G1010"/>
      <c r="I1010" s="490"/>
    </row>
    <row r="1011" spans="1:9" ht="12.75" customHeight="1">
      <c r="A1011" s="174"/>
      <c r="B1011" s="174"/>
      <c r="C1011" s="174"/>
      <c r="D1011" s="441"/>
      <c r="E1011" s="441"/>
      <c r="F1011" s="441"/>
      <c r="G1011"/>
      <c r="I1011" s="490"/>
    </row>
    <row r="1012" spans="1:9" ht="12.75" customHeight="1">
      <c r="A1012" s="174"/>
      <c r="B1012" s="485" t="s">
        <v>307</v>
      </c>
      <c r="C1012" s="174"/>
      <c r="D1012" s="1480" t="s">
        <v>2183</v>
      </c>
      <c r="E1012" s="1480"/>
      <c r="F1012" s="1480"/>
      <c r="G1012"/>
      <c r="I1012" s="490"/>
    </row>
    <row r="1013" spans="1:9" ht="12.75" customHeight="1">
      <c r="A1013" s="174"/>
      <c r="B1013" s="174"/>
      <c r="C1013" s="174"/>
      <c r="D1013" s="1480"/>
      <c r="E1013" s="1480"/>
      <c r="F1013" s="1480"/>
      <c r="G1013"/>
      <c r="I1013" s="490"/>
    </row>
    <row r="1014" spans="1:9" ht="12.75" customHeight="1">
      <c r="A1014" s="174"/>
      <c r="B1014" s="174"/>
      <c r="C1014" s="174"/>
      <c r="D1014" s="441"/>
      <c r="E1014" s="441"/>
      <c r="F1014" s="441"/>
      <c r="G1014"/>
      <c r="I1014" s="490"/>
    </row>
    <row r="1015" spans="1:9" ht="12.75" customHeight="1">
      <c r="A1015" s="175"/>
      <c r="B1015" s="485" t="s">
        <v>307</v>
      </c>
      <c r="C1015" s="354"/>
      <c r="D1015" s="1833" t="s">
        <v>1777</v>
      </c>
      <c r="E1015" s="1833"/>
      <c r="F1015" s="1833"/>
      <c r="G1015"/>
      <c r="I1015" s="490"/>
    </row>
    <row r="1016" spans="1:9" ht="12.75" customHeight="1">
      <c r="A1016" s="354"/>
      <c r="B1016" s="354"/>
      <c r="C1016" s="354"/>
      <c r="D1016" s="3"/>
      <c r="E1016" s="3"/>
      <c r="F1016" s="3"/>
      <c r="G1016"/>
      <c r="I1016" s="490"/>
    </row>
    <row r="1017" spans="1:9" ht="12.75" customHeight="1">
      <c r="A1017" s="175"/>
      <c r="B1017" s="485" t="s">
        <v>307</v>
      </c>
      <c r="C1017" s="354"/>
      <c r="D1017" s="1833" t="s">
        <v>1778</v>
      </c>
      <c r="E1017" s="1833"/>
      <c r="F1017" s="1833"/>
      <c r="G1017"/>
      <c r="I1017" s="490"/>
    </row>
    <row r="1018" spans="1:9" ht="12.75" customHeight="1">
      <c r="A1018" s="354"/>
      <c r="B1018" s="354"/>
      <c r="C1018" s="354"/>
      <c r="D1018" s="118"/>
      <c r="E1018" s="3"/>
      <c r="F1018" s="3"/>
      <c r="G1018"/>
      <c r="I1018" s="490"/>
    </row>
    <row r="1019" spans="1:9" ht="12.75" customHeight="1">
      <c r="A1019" s="175"/>
      <c r="B1019" s="485" t="s">
        <v>307</v>
      </c>
      <c r="C1019" s="354"/>
      <c r="D1019" s="1833" t="s">
        <v>1779</v>
      </c>
      <c r="E1019" s="1833"/>
      <c r="F1019" s="1833"/>
      <c r="G1019"/>
      <c r="I1019" s="490"/>
    </row>
    <row r="1020" spans="1:9" ht="12.75" customHeight="1">
      <c r="A1020" s="354"/>
      <c r="B1020" s="354"/>
      <c r="C1020" s="354"/>
      <c r="D1020" s="118"/>
      <c r="E1020" s="3"/>
      <c r="F1020" s="3"/>
      <c r="G1020"/>
      <c r="I1020" s="490"/>
    </row>
    <row r="1021" spans="1:9" ht="12.75" customHeight="1">
      <c r="A1021" s="175"/>
      <c r="B1021" s="485" t="s">
        <v>307</v>
      </c>
      <c r="C1021" s="354"/>
      <c r="D1021" s="1480" t="s">
        <v>1780</v>
      </c>
      <c r="E1021" s="1480"/>
      <c r="F1021" s="1480"/>
      <c r="G1021"/>
      <c r="I1021" s="490"/>
    </row>
    <row r="1022" spans="1:9" ht="12.75" customHeight="1">
      <c r="A1022" s="175"/>
      <c r="B1022" s="175"/>
      <c r="C1022" s="354"/>
      <c r="D1022" s="1480"/>
      <c r="E1022" s="1480"/>
      <c r="F1022" s="1480"/>
      <c r="G1022"/>
      <c r="I1022" s="490"/>
    </row>
    <row r="1023" spans="1:9" ht="12.75" customHeight="1">
      <c r="A1023" s="175"/>
      <c r="B1023" s="175"/>
      <c r="C1023" s="354"/>
      <c r="D1023" s="118"/>
      <c r="E1023" s="3"/>
      <c r="F1023" s="3"/>
      <c r="G1023" s="3"/>
      <c r="I1023" s="490"/>
    </row>
    <row r="1024" spans="1:9" ht="12.75" customHeight="1">
      <c r="A1024" s="254"/>
      <c r="B1024" s="485" t="s">
        <v>307</v>
      </c>
      <c r="C1024" s="995"/>
      <c r="D1024" s="1849" t="s">
        <v>1781</v>
      </c>
      <c r="E1024" s="1849"/>
      <c r="F1024" s="1849"/>
      <c r="G1024" s="996"/>
      <c r="I1024" s="490"/>
    </row>
    <row r="1025" spans="1:9" ht="12.75" customHeight="1">
      <c r="A1025" s="995"/>
      <c r="B1025" s="995"/>
      <c r="C1025" s="995"/>
      <c r="D1025" s="1849"/>
      <c r="E1025" s="1849"/>
      <c r="F1025" s="1849"/>
      <c r="G1025" s="996"/>
      <c r="I1025" s="490"/>
    </row>
    <row r="1026" spans="1:9" ht="12.75" customHeight="1">
      <c r="A1026" s="995"/>
      <c r="B1026" s="995"/>
      <c r="C1026" s="995"/>
      <c r="D1026" s="979"/>
      <c r="E1026" s="996"/>
      <c r="F1026" s="996"/>
      <c r="G1026" s="996"/>
      <c r="I1026" s="490"/>
    </row>
    <row r="1027" spans="1:9" ht="12.75" customHeight="1">
      <c r="A1027" s="254"/>
      <c r="B1027" s="485" t="s">
        <v>307</v>
      </c>
      <c r="C1027" s="995"/>
      <c r="D1027" s="1862" t="s">
        <v>1782</v>
      </c>
      <c r="E1027" s="1862"/>
      <c r="F1027" s="1862"/>
      <c r="G1027" s="996"/>
      <c r="I1027" s="490"/>
    </row>
    <row r="1028" spans="1:9" ht="12.75" customHeight="1">
      <c r="A1028" s="995"/>
      <c r="B1028" s="995"/>
      <c r="C1028" s="995"/>
      <c r="D1028" s="979"/>
      <c r="E1028" s="996"/>
      <c r="F1028" s="996"/>
      <c r="G1028" s="996"/>
      <c r="I1028" s="490"/>
    </row>
    <row r="1029" spans="1:9" ht="12.75" customHeight="1">
      <c r="A1029" s="175"/>
      <c r="B1029" s="485" t="s">
        <v>307</v>
      </c>
      <c r="C1029" s="354"/>
      <c r="D1029" s="1833" t="s">
        <v>1783</v>
      </c>
      <c r="E1029" s="1833"/>
      <c r="F1029" s="1833"/>
      <c r="G1029" s="3"/>
      <c r="I1029" s="490"/>
    </row>
    <row r="1030" spans="1:9" ht="12.75" customHeight="1">
      <c r="A1030" s="175"/>
      <c r="B1030" s="175"/>
      <c r="C1030" s="354"/>
      <c r="D1030" s="118"/>
      <c r="E1030" s="3"/>
      <c r="F1030" s="3"/>
      <c r="G1030" s="3"/>
      <c r="I1030" s="490"/>
    </row>
    <row r="1031" spans="1:9" ht="12.75" customHeight="1">
      <c r="A1031" s="175"/>
      <c r="B1031" s="485" t="s">
        <v>307</v>
      </c>
      <c r="C1031" s="354"/>
      <c r="D1031" s="1480" t="s">
        <v>1784</v>
      </c>
      <c r="E1031" s="1480"/>
      <c r="F1031" s="1480"/>
      <c r="G1031" s="3"/>
      <c r="I1031" s="490"/>
    </row>
    <row r="1032" spans="1:9" ht="12.75" customHeight="1">
      <c r="A1032" s="175"/>
      <c r="B1032" s="175"/>
      <c r="C1032" s="354"/>
      <c r="D1032" s="1480"/>
      <c r="E1032" s="1480"/>
      <c r="F1032" s="1480"/>
      <c r="G1032" s="3"/>
      <c r="I1032" s="490"/>
    </row>
    <row r="1033" spans="1:9" ht="12.75" customHeight="1">
      <c r="A1033" s="354"/>
      <c r="B1033" s="354"/>
      <c r="C1033" s="354"/>
      <c r="D1033" s="3"/>
      <c r="E1033" s="3"/>
      <c r="F1033" s="3"/>
      <c r="G1033" s="3"/>
      <c r="I1033" s="490"/>
    </row>
    <row r="1034" spans="1:9" ht="12.75" customHeight="1">
      <c r="A1034" s="1841" t="s">
        <v>1785</v>
      </c>
      <c r="B1034" s="1841"/>
      <c r="C1034" s="1841"/>
      <c r="D1034" s="1841"/>
      <c r="E1034" s="1841"/>
      <c r="F1034" s="1841"/>
      <c r="G1034" s="1841"/>
      <c r="H1034" s="1023"/>
      <c r="I1034" s="1147"/>
    </row>
    <row r="1035" spans="1:9" ht="12.75" customHeight="1">
      <c r="A1035" s="354"/>
      <c r="B1035" s="354"/>
      <c r="C1035" s="354"/>
      <c r="D1035" s="3"/>
      <c r="E1035" s="3"/>
      <c r="F1035" s="3"/>
      <c r="G1035" s="3"/>
      <c r="I1035" s="490"/>
    </row>
    <row r="1036" spans="1:9" ht="12.75" customHeight="1">
      <c r="A1036" s="354"/>
      <c r="B1036" s="354"/>
      <c r="C1036" s="354"/>
      <c r="D1036" s="1857" t="s">
        <v>1786</v>
      </c>
      <c r="E1036" s="1857"/>
      <c r="F1036" s="1857"/>
      <c r="G1036" s="3"/>
      <c r="I1036" s="490"/>
    </row>
    <row r="1037" spans="1:9" ht="12.75" customHeight="1">
      <c r="A1037" s="354"/>
      <c r="B1037" s="354"/>
      <c r="C1037" s="354"/>
      <c r="D1037" s="1862" t="s">
        <v>1787</v>
      </c>
      <c r="E1037" s="1862"/>
      <c r="F1037" s="1862"/>
      <c r="G1037" s="3"/>
      <c r="I1037" s="490"/>
    </row>
    <row r="1038" spans="1:9" ht="12.75" customHeight="1">
      <c r="A1038" s="172"/>
      <c r="B1038" s="172"/>
      <c r="C1038" s="172"/>
      <c r="D1038" s="3"/>
      <c r="E1038" s="3"/>
      <c r="F1038" s="3"/>
      <c r="G1038" s="3"/>
      <c r="I1038" s="490"/>
    </row>
    <row r="1039" spans="1:9" ht="12.75" customHeight="1">
      <c r="A1039" s="175"/>
      <c r="B1039" s="175"/>
      <c r="C1039" s="174"/>
      <c r="D1039" s="1857" t="s">
        <v>1801</v>
      </c>
      <c r="E1039" s="1857"/>
      <c r="F1039" s="1857"/>
      <c r="G1039" s="3"/>
      <c r="I1039" s="490"/>
    </row>
    <row r="1040" spans="1:9" ht="12.75" customHeight="1">
      <c r="A1040" s="354"/>
      <c r="B1040" s="485" t="s">
        <v>307</v>
      </c>
      <c r="C1040" s="354"/>
      <c r="D1040" s="1862" t="s">
        <v>1271</v>
      </c>
      <c r="E1040" s="1862"/>
      <c r="F1040" s="1862"/>
      <c r="G1040" s="3"/>
      <c r="I1040" s="490"/>
    </row>
    <row r="1041" spans="1:9" ht="12.75" customHeight="1">
      <c r="A1041" s="354"/>
      <c r="B1041" s="175"/>
      <c r="C1041" s="354"/>
      <c r="D1041" s="1862" t="s">
        <v>1788</v>
      </c>
      <c r="E1041" s="1862"/>
      <c r="F1041" s="1862"/>
      <c r="G1041" s="3"/>
      <c r="I1041" s="490"/>
    </row>
    <row r="1042" spans="1:9" ht="12.75" customHeight="1">
      <c r="A1042" s="354"/>
      <c r="B1042" s="354"/>
      <c r="C1042" s="354"/>
      <c r="D1042" s="1862"/>
      <c r="E1042" s="1862"/>
      <c r="F1042" s="1862"/>
      <c r="G1042" s="3"/>
      <c r="I1042" s="490"/>
    </row>
    <row r="1043" spans="1:9" ht="12.75" customHeight="1">
      <c r="A1043" s="1841" t="s">
        <v>1797</v>
      </c>
      <c r="B1043" s="1841"/>
      <c r="C1043" s="1841"/>
      <c r="D1043" s="1841"/>
      <c r="E1043" s="1841"/>
      <c r="F1043" s="1841"/>
      <c r="G1043" s="1841"/>
      <c r="H1043" s="1023"/>
      <c r="I1043" s="1147"/>
    </row>
    <row r="1044" spans="1:9" ht="12.75" customHeight="1">
      <c r="A1044" s="118"/>
      <c r="B1044" s="118"/>
      <c r="C1044" s="354"/>
      <c r="D1044" s="3"/>
      <c r="E1044" s="3"/>
      <c r="F1044" s="3"/>
      <c r="G1044" s="3"/>
      <c r="I1044" s="490"/>
    </row>
    <row r="1045" spans="1:9" ht="12.75" hidden="1" customHeight="1">
      <c r="A1045" s="118"/>
      <c r="B1045" s="402"/>
      <c r="D1045" s="1863" t="s">
        <v>1272</v>
      </c>
      <c r="E1045" s="1863"/>
      <c r="F1045" s="1863"/>
      <c r="G1045" s="3"/>
      <c r="I1045" s="490"/>
    </row>
    <row r="1046" spans="1:9" ht="12.75" hidden="1" customHeight="1">
      <c r="A1046" s="118"/>
      <c r="B1046" s="485" t="s">
        <v>307</v>
      </c>
      <c r="D1046" s="1828" t="s">
        <v>1271</v>
      </c>
      <c r="E1046" s="1828"/>
      <c r="F1046" s="1828"/>
      <c r="G1046" s="3"/>
      <c r="I1046" s="490"/>
    </row>
    <row r="1047" spans="1:9" ht="12.75" hidden="1" customHeight="1">
      <c r="A1047" s="118"/>
      <c r="B1047" s="402"/>
      <c r="D1047" s="1828" t="s">
        <v>1798</v>
      </c>
      <c r="E1047" s="1828"/>
      <c r="F1047" s="1828"/>
      <c r="G1047" s="3"/>
      <c r="I1047" s="490"/>
    </row>
    <row r="1048" spans="1:9" ht="12.75" hidden="1" customHeight="1">
      <c r="A1048" s="118"/>
      <c r="B1048" s="402"/>
      <c r="D1048" s="444"/>
      <c r="E1048" s="444"/>
      <c r="F1048" s="444"/>
      <c r="G1048" s="3"/>
      <c r="I1048" s="490"/>
    </row>
    <row r="1049" spans="1:9" ht="12.75" customHeight="1">
      <c r="A1049" s="118"/>
      <c r="B1049" s="118"/>
      <c r="C1049" s="354"/>
      <c r="D1049" s="1864" t="s">
        <v>1066</v>
      </c>
      <c r="E1049" s="1864"/>
      <c r="F1049" s="1864"/>
      <c r="G1049" s="3"/>
      <c r="I1049" s="490"/>
    </row>
    <row r="1050" spans="1:9" ht="12.75" customHeight="1">
      <c r="A1050" s="319"/>
      <c r="B1050" s="319"/>
      <c r="C1050" s="319"/>
      <c r="D1050" s="1834" t="s">
        <v>2200</v>
      </c>
      <c r="E1050" s="1834"/>
      <c r="F1050" s="1834"/>
      <c r="G1050" s="98"/>
      <c r="I1050" s="490"/>
    </row>
    <row r="1051" spans="1:9" ht="12.75" customHeight="1">
      <c r="A1051" s="175"/>
      <c r="B1051" s="485" t="s">
        <v>307</v>
      </c>
      <c r="C1051" s="354"/>
      <c r="D1051" s="1834" t="s">
        <v>985</v>
      </c>
      <c r="E1051" s="1834"/>
      <c r="F1051" s="1834"/>
      <c r="G1051" s="3"/>
      <c r="I1051" s="490"/>
    </row>
    <row r="1052" spans="1:9" ht="12.75" customHeight="1">
      <c r="A1052" s="354"/>
      <c r="B1052" s="354"/>
      <c r="C1052" s="354"/>
      <c r="D1052" s="1031" t="s">
        <v>1890</v>
      </c>
      <c r="E1052" s="96"/>
      <c r="F1052" s="96"/>
      <c r="G1052" s="3"/>
      <c r="I1052" s="490"/>
    </row>
    <row r="1053" spans="1:9">
      <c r="A1053" s="402"/>
      <c r="B1053" s="402"/>
      <c r="C1053" s="402"/>
      <c r="I1053" s="490"/>
    </row>
    <row r="1054" spans="1:9">
      <c r="A1054" s="1841" t="s">
        <v>2611</v>
      </c>
      <c r="B1054" s="1841"/>
      <c r="C1054" s="1841"/>
      <c r="D1054" s="1841"/>
      <c r="E1054" s="1841"/>
      <c r="F1054" s="1841"/>
      <c r="G1054" s="1841"/>
      <c r="H1054" s="1023"/>
      <c r="I1054" s="1147"/>
    </row>
    <row r="1055" spans="1:9">
      <c r="A1055" s="402"/>
      <c r="B1055" s="402"/>
      <c r="C1055" s="402"/>
      <c r="I1055" s="490"/>
    </row>
    <row r="1056" spans="1:9">
      <c r="A1056" s="402"/>
      <c r="B1056" s="402"/>
      <c r="C1056" s="402"/>
      <c r="D1056" s="404" t="s">
        <v>2610</v>
      </c>
      <c r="I1056" s="490"/>
    </row>
    <row r="1057" spans="1:9">
      <c r="A1057" s="402"/>
      <c r="B1057" s="402"/>
      <c r="C1057" s="402"/>
      <c r="D1057" s="402" t="s">
        <v>2614</v>
      </c>
      <c r="I1057" s="490"/>
    </row>
    <row r="1058" spans="1:9">
      <c r="A1058" s="402"/>
      <c r="B1058" s="402"/>
      <c r="C1058" s="402"/>
      <c r="D1058" s="404"/>
      <c r="I1058" s="490"/>
    </row>
    <row r="1059" spans="1:9">
      <c r="A1059" s="402"/>
      <c r="B1059" s="485" t="s">
        <v>307</v>
      </c>
      <c r="C1059" s="402"/>
      <c r="D1059" s="1815" t="s">
        <v>1802</v>
      </c>
      <c r="E1059" s="1815"/>
      <c r="F1059" s="1815"/>
      <c r="I1059" s="490"/>
    </row>
    <row r="1060" spans="1:9">
      <c r="A1060" s="402"/>
      <c r="B1060" s="402"/>
      <c r="C1060" s="402"/>
      <c r="D1060" s="1815"/>
      <c r="E1060" s="1815"/>
      <c r="F1060" s="1815"/>
      <c r="I1060" s="490"/>
    </row>
    <row r="1061" spans="1:9">
      <c r="A1061" s="402"/>
      <c r="B1061" s="402"/>
      <c r="C1061" s="402"/>
      <c r="D1061" s="1815"/>
      <c r="E1061" s="1815"/>
      <c r="F1061" s="1815"/>
      <c r="I1061" s="490"/>
    </row>
    <row r="1062" spans="1:9">
      <c r="A1062" s="402"/>
      <c r="B1062" s="402"/>
      <c r="C1062" s="402"/>
      <c r="D1062" s="1815"/>
      <c r="E1062" s="1815"/>
      <c r="F1062" s="1815"/>
      <c r="I1062" s="490"/>
    </row>
    <row r="1063" spans="1:9">
      <c r="A1063" s="402"/>
      <c r="B1063" s="402"/>
      <c r="C1063" s="402"/>
      <c r="I1063" s="490"/>
    </row>
    <row r="1064" spans="1:9">
      <c r="A1064" s="402"/>
      <c r="B1064" s="402"/>
      <c r="C1064" s="402"/>
      <c r="D1064" s="404" t="s">
        <v>1307</v>
      </c>
      <c r="I1064" s="490"/>
    </row>
    <row r="1065" spans="1:9">
      <c r="A1065" s="402"/>
      <c r="B1065" s="402"/>
      <c r="C1065" s="402"/>
      <c r="D1065" s="402" t="s">
        <v>2615</v>
      </c>
      <c r="I1065" s="490"/>
    </row>
    <row r="1066" spans="1:9">
      <c r="A1066" s="402"/>
      <c r="B1066" s="402"/>
      <c r="C1066" s="402"/>
      <c r="I1066" s="490"/>
    </row>
    <row r="1067" spans="1:9">
      <c r="A1067" s="402"/>
      <c r="B1067" s="485" t="s">
        <v>307</v>
      </c>
      <c r="C1067" s="402"/>
      <c r="D1067" s="402" t="s">
        <v>1800</v>
      </c>
      <c r="I1067" s="490"/>
    </row>
    <row r="1068" spans="1:9">
      <c r="A1068" s="402"/>
      <c r="B1068" s="402"/>
      <c r="C1068" s="402"/>
      <c r="I1068" s="490"/>
    </row>
    <row r="1069" spans="1:9">
      <c r="A1069" s="402"/>
      <c r="B1069" s="485" t="s">
        <v>307</v>
      </c>
      <c r="C1069" s="402"/>
      <c r="D1069" s="1815" t="s">
        <v>1803</v>
      </c>
      <c r="E1069" s="1815"/>
      <c r="F1069" s="1815"/>
      <c r="I1069" s="490"/>
    </row>
    <row r="1070" spans="1:9">
      <c r="A1070" s="402"/>
      <c r="B1070" s="402"/>
      <c r="C1070" s="402"/>
      <c r="D1070" s="1815"/>
      <c r="E1070" s="1815"/>
      <c r="F1070" s="1815"/>
      <c r="I1070" s="490"/>
    </row>
    <row r="1071" spans="1:9">
      <c r="A1071" s="402"/>
      <c r="B1071" s="402"/>
      <c r="C1071" s="402"/>
      <c r="D1071" s="1815"/>
      <c r="E1071" s="1815"/>
      <c r="F1071" s="1815"/>
      <c r="I1071" s="490"/>
    </row>
    <row r="1072" spans="1:9">
      <c r="A1072" s="402"/>
      <c r="B1072" s="402"/>
      <c r="C1072" s="402"/>
      <c r="D1072" s="1815"/>
      <c r="E1072" s="1815"/>
      <c r="F1072" s="1815"/>
      <c r="I1072" s="490"/>
    </row>
    <row r="1073" spans="1:9">
      <c r="A1073" s="402"/>
      <c r="B1073" s="402"/>
      <c r="C1073" s="402"/>
      <c r="D1073" s="1815"/>
      <c r="E1073" s="1815"/>
      <c r="F1073" s="1815"/>
      <c r="I1073" s="490"/>
    </row>
    <row r="1074" spans="1:9">
      <c r="A1074" s="402"/>
      <c r="B1074" s="402"/>
      <c r="C1074" s="402"/>
      <c r="I1074" s="490"/>
    </row>
    <row r="1075" spans="1:9">
      <c r="A1075" s="1841" t="s">
        <v>1804</v>
      </c>
      <c r="B1075" s="1841"/>
      <c r="C1075" s="1841"/>
      <c r="D1075" s="1841"/>
      <c r="E1075" s="1841"/>
      <c r="F1075" s="1841"/>
      <c r="G1075" s="1841"/>
      <c r="H1075" s="1023"/>
      <c r="I1075" s="1147"/>
    </row>
    <row r="1076" spans="1:9">
      <c r="A1076" s="402"/>
      <c r="B1076" s="402"/>
      <c r="C1076" s="402"/>
      <c r="I1076" s="490"/>
    </row>
    <row r="1077" spans="1:9">
      <c r="A1077" s="402"/>
      <c r="B1077" s="402"/>
      <c r="C1077" s="402"/>
      <c r="I1077" s="490"/>
    </row>
    <row r="1078" spans="1:9">
      <c r="A1078" s="402"/>
      <c r="B1078" s="485" t="s">
        <v>307</v>
      </c>
      <c r="C1078" s="402"/>
      <c r="D1078" s="527" t="s">
        <v>1807</v>
      </c>
      <c r="I1078" s="490"/>
    </row>
    <row r="1079" spans="1:9">
      <c r="A1079" s="402"/>
      <c r="B1079" s="402"/>
      <c r="C1079" s="402"/>
      <c r="D1079" s="527" t="s">
        <v>2624</v>
      </c>
      <c r="I1079" s="490"/>
    </row>
    <row r="1080" spans="1:9">
      <c r="A1080" s="402"/>
      <c r="B1080" s="402"/>
      <c r="C1080" s="402"/>
      <c r="D1080" s="527"/>
      <c r="I1080" s="490"/>
    </row>
    <row r="1081" spans="1:9">
      <c r="A1081" s="402"/>
      <c r="B1081" s="485" t="s">
        <v>307</v>
      </c>
      <c r="C1081" s="402"/>
      <c r="D1081" s="1795" t="s">
        <v>2617</v>
      </c>
      <c r="E1081" s="1795"/>
      <c r="F1081" s="1795"/>
      <c r="I1081" s="490"/>
    </row>
    <row r="1082" spans="1:9">
      <c r="A1082" s="402"/>
      <c r="B1082" s="402"/>
      <c r="C1082" s="402"/>
      <c r="D1082" s="1795"/>
      <c r="E1082" s="1795"/>
      <c r="F1082" s="1795"/>
      <c r="I1082" s="490"/>
    </row>
    <row r="1083" spans="1:9">
      <c r="A1083" s="402"/>
      <c r="B1083" s="402"/>
      <c r="C1083" s="402"/>
      <c r="D1083" s="527" t="s">
        <v>2616</v>
      </c>
      <c r="I1083" s="490"/>
    </row>
    <row r="1084" spans="1:9">
      <c r="A1084" s="402"/>
      <c r="B1084" s="402"/>
      <c r="C1084" s="402"/>
      <c r="D1084" s="527"/>
      <c r="I1084" s="490"/>
    </row>
    <row r="1085" spans="1:9">
      <c r="A1085" s="402"/>
      <c r="B1085" s="485" t="s">
        <v>307</v>
      </c>
      <c r="C1085" s="402"/>
      <c r="D1085" s="119" t="s">
        <v>2625</v>
      </c>
      <c r="I1085" s="490"/>
    </row>
    <row r="1086" spans="1:9">
      <c r="A1086" s="402"/>
      <c r="B1086" s="402"/>
      <c r="C1086" s="402"/>
      <c r="D1086" s="1480" t="s">
        <v>2627</v>
      </c>
      <c r="E1086" s="1480"/>
      <c r="F1086" s="1480"/>
      <c r="I1086" s="490"/>
    </row>
    <row r="1087" spans="1:9">
      <c r="A1087" s="402"/>
      <c r="B1087" s="402"/>
      <c r="C1087" s="402"/>
      <c r="D1087" s="1480"/>
      <c r="E1087" s="1480"/>
      <c r="F1087" s="1480"/>
      <c r="I1087" s="490"/>
    </row>
    <row r="1088" spans="1:9">
      <c r="A1088" s="402"/>
      <c r="B1088" s="402"/>
      <c r="C1088" s="402"/>
      <c r="D1088" s="1480"/>
      <c r="E1088" s="1480"/>
      <c r="F1088" s="1480"/>
      <c r="I1088" s="490"/>
    </row>
    <row r="1089" spans="1:9">
      <c r="A1089" s="402"/>
      <c r="B1089" s="402"/>
      <c r="C1089" s="402"/>
      <c r="D1089" s="1480"/>
      <c r="E1089" s="1480"/>
      <c r="F1089" s="1480"/>
      <c r="I1089" s="490"/>
    </row>
    <row r="1090" spans="1:9">
      <c r="A1090" s="402"/>
      <c r="B1090" s="402"/>
      <c r="C1090" s="402"/>
      <c r="D1090" s="119" t="s">
        <v>2626</v>
      </c>
      <c r="I1090" s="490"/>
    </row>
    <row r="1091" spans="1:9">
      <c r="A1091" s="402"/>
      <c r="B1091" s="402"/>
      <c r="C1091" s="402"/>
      <c r="D1091" s="119"/>
      <c r="I1091" s="490"/>
    </row>
    <row r="1092" spans="1:9">
      <c r="A1092" s="402"/>
      <c r="B1092" s="402"/>
      <c r="C1092" s="402"/>
      <c r="D1092" s="527" t="s">
        <v>1805</v>
      </c>
      <c r="I1092" s="490"/>
    </row>
    <row r="1093" spans="1:9">
      <c r="A1093" s="402"/>
      <c r="B1093" s="485" t="s">
        <v>307</v>
      </c>
      <c r="C1093" s="402"/>
      <c r="D1093" s="1859" t="s">
        <v>1806</v>
      </c>
      <c r="E1093" s="1859"/>
      <c r="F1093" s="1859"/>
      <c r="I1093" s="490"/>
    </row>
    <row r="1094" spans="1:9">
      <c r="A1094" s="402"/>
      <c r="B1094" s="402"/>
      <c r="C1094" s="402"/>
      <c r="D1094" s="1859"/>
      <c r="E1094" s="1859"/>
      <c r="F1094" s="1859"/>
      <c r="I1094" s="490"/>
    </row>
    <row r="1095" spans="1:9">
      <c r="A1095" s="402"/>
      <c r="B1095" s="402"/>
      <c r="C1095" s="402"/>
      <c r="D1095" s="1859"/>
      <c r="E1095" s="1859"/>
      <c r="F1095" s="1859"/>
      <c r="I1095" s="490"/>
    </row>
    <row r="1096" spans="1:9">
      <c r="A1096" s="402"/>
      <c r="B1096" s="402"/>
      <c r="C1096" s="402"/>
      <c r="D1096" s="1859"/>
      <c r="E1096" s="1859"/>
      <c r="F1096" s="1859"/>
      <c r="I1096" s="490"/>
    </row>
    <row r="1097" spans="1:9">
      <c r="A1097" s="402"/>
      <c r="B1097" s="402"/>
      <c r="C1097" s="402"/>
      <c r="D1097" s="1859"/>
      <c r="E1097" s="1859"/>
      <c r="F1097" s="1859"/>
      <c r="I1097" s="490"/>
    </row>
    <row r="1098" spans="1:9">
      <c r="A1098" s="402"/>
      <c r="B1098" s="402"/>
      <c r="C1098" s="402"/>
      <c r="D1098" s="527" t="s">
        <v>2628</v>
      </c>
      <c r="I1098" s="490"/>
    </row>
    <row r="1099" spans="1:9">
      <c r="A1099" s="402"/>
      <c r="B1099" s="402"/>
      <c r="C1099" s="402"/>
      <c r="I1099" s="490"/>
    </row>
    <row r="1100" spans="1:9">
      <c r="A1100" s="402"/>
      <c r="B1100" s="485" t="s">
        <v>307</v>
      </c>
      <c r="C1100" s="402"/>
      <c r="D1100" s="1810" t="s">
        <v>2221</v>
      </c>
      <c r="E1100" s="1810"/>
      <c r="F1100" s="1810"/>
      <c r="I1100" s="490"/>
    </row>
    <row r="1101" spans="1:9">
      <c r="A1101" s="402"/>
      <c r="B1101" s="402"/>
      <c r="C1101" s="402"/>
      <c r="D1101" s="1810"/>
      <c r="E1101" s="1810"/>
      <c r="F1101" s="1810"/>
      <c r="I1101" s="490"/>
    </row>
    <row r="1102" spans="1:9">
      <c r="A1102" s="402"/>
      <c r="B1102" s="402"/>
      <c r="C1102" s="402"/>
      <c r="D1102" s="1810"/>
      <c r="E1102" s="1810"/>
      <c r="F1102" s="1810"/>
      <c r="I1102" s="490"/>
    </row>
    <row r="1103" spans="1:9">
      <c r="A1103" s="402"/>
      <c r="B1103" s="402"/>
      <c r="C1103" s="402"/>
      <c r="I1103" s="490"/>
    </row>
    <row r="1104" spans="1:9">
      <c r="A1104" s="1841" t="s">
        <v>1808</v>
      </c>
      <c r="B1104" s="1841"/>
      <c r="C1104" s="1841"/>
      <c r="D1104" s="1841"/>
      <c r="E1104" s="1841"/>
      <c r="F1104" s="1841"/>
      <c r="G1104" s="1841"/>
      <c r="H1104" s="1023"/>
      <c r="I1104" s="1147"/>
    </row>
    <row r="1105" spans="1:9">
      <c r="A1105" s="402"/>
      <c r="B1105" s="402"/>
      <c r="C1105" s="402"/>
      <c r="I1105" s="490"/>
    </row>
    <row r="1106" spans="1:9">
      <c r="A1106" s="402"/>
      <c r="B1106" s="402"/>
      <c r="C1106" s="402"/>
      <c r="I1106" s="490"/>
    </row>
    <row r="1107" spans="1:9" ht="12.75" customHeight="1">
      <c r="A1107" s="402"/>
      <c r="B1107" s="485" t="s">
        <v>307</v>
      </c>
      <c r="C1107" s="402"/>
      <c r="D1107" s="1759" t="s">
        <v>1902</v>
      </c>
      <c r="E1107" s="1759"/>
      <c r="F1107" s="1759"/>
      <c r="I1107" s="490"/>
    </row>
    <row r="1108" spans="1:9">
      <c r="A1108" s="402"/>
      <c r="B1108" s="402"/>
      <c r="C1108" s="402"/>
      <c r="D1108" s="1759"/>
      <c r="E1108" s="1759"/>
      <c r="F1108" s="1759"/>
      <c r="I1108" s="490"/>
    </row>
    <row r="1109" spans="1:9">
      <c r="A1109" s="402"/>
      <c r="B1109" s="402"/>
      <c r="C1109" s="402"/>
      <c r="D1109" s="1860" t="s">
        <v>2632</v>
      </c>
      <c r="E1109" s="1480"/>
      <c r="F1109" s="1480"/>
      <c r="I1109" s="490"/>
    </row>
    <row r="1110" spans="1:9">
      <c r="A1110" s="402"/>
      <c r="B1110" s="402"/>
      <c r="C1110" s="402"/>
      <c r="D1110" s="527"/>
      <c r="I1110" s="490"/>
    </row>
    <row r="1111" spans="1:9">
      <c r="A1111" s="402"/>
      <c r="B1111" s="485" t="s">
        <v>307</v>
      </c>
      <c r="C1111" s="402"/>
      <c r="D1111" s="1859" t="s">
        <v>2580</v>
      </c>
      <c r="E1111" s="1859"/>
      <c r="F1111" s="1859"/>
      <c r="I1111" s="490"/>
    </row>
    <row r="1112" spans="1:9">
      <c r="A1112" s="402"/>
      <c r="B1112" s="402"/>
      <c r="C1112" s="402"/>
      <c r="D1112" s="1859"/>
      <c r="E1112" s="1859"/>
      <c r="F1112" s="1859"/>
      <c r="I1112" s="490"/>
    </row>
    <row r="1113" spans="1:9">
      <c r="A1113" s="402"/>
      <c r="B1113" s="402"/>
      <c r="C1113" s="402"/>
      <c r="D1113" s="1859"/>
      <c r="E1113" s="1859"/>
      <c r="F1113" s="1859"/>
      <c r="I1113" s="490"/>
    </row>
    <row r="1114" spans="1:9">
      <c r="A1114" s="402"/>
      <c r="B1114" s="402"/>
      <c r="C1114" s="402"/>
      <c r="D1114" s="527"/>
      <c r="I1114" s="490"/>
    </row>
    <row r="1115" spans="1:9">
      <c r="A1115" s="402"/>
      <c r="B1115" s="485" t="s">
        <v>307</v>
      </c>
      <c r="C1115" s="402"/>
      <c r="D1115" s="1859" t="s">
        <v>2599</v>
      </c>
      <c r="E1115" s="1859"/>
      <c r="F1115" s="1859"/>
      <c r="I1115" s="490"/>
    </row>
    <row r="1116" spans="1:9">
      <c r="A1116" s="402"/>
      <c r="B1116" s="402"/>
      <c r="C1116" s="402"/>
      <c r="D1116" s="1859"/>
      <c r="E1116" s="1859"/>
      <c r="F1116" s="1859"/>
      <c r="I1116" s="490"/>
    </row>
    <row r="1117" spans="1:9">
      <c r="A1117" s="402"/>
      <c r="B1117" s="402"/>
      <c r="C1117" s="402"/>
      <c r="D1117" s="1859"/>
      <c r="E1117" s="1859"/>
      <c r="F1117" s="1859"/>
      <c r="I1117" s="490"/>
    </row>
    <row r="1118" spans="1:9">
      <c r="A1118" s="402"/>
      <c r="B1118" s="402"/>
      <c r="C1118" s="402"/>
      <c r="D1118" s="1859"/>
      <c r="E1118" s="1859"/>
      <c r="F1118" s="1859"/>
      <c r="I1118" s="490"/>
    </row>
    <row r="1119" spans="1:9">
      <c r="A1119" s="402"/>
      <c r="B1119" s="402"/>
      <c r="C1119" s="402"/>
      <c r="D1119" s="1859"/>
      <c r="E1119" s="1859"/>
      <c r="F1119" s="1859"/>
      <c r="I1119" s="490"/>
    </row>
    <row r="1120" spans="1:9">
      <c r="A1120" s="402"/>
      <c r="B1120" s="402"/>
      <c r="C1120" s="402"/>
      <c r="D1120" s="527"/>
      <c r="I1120" s="480"/>
    </row>
    <row r="1121" spans="1:9">
      <c r="A1121" s="402"/>
      <c r="B1121" s="485" t="s">
        <v>307</v>
      </c>
      <c r="C1121" s="402"/>
      <c r="D1121" s="1859" t="s">
        <v>1809</v>
      </c>
      <c r="E1121" s="1859"/>
      <c r="F1121" s="1859"/>
      <c r="I1121" s="490"/>
    </row>
    <row r="1122" spans="1:9">
      <c r="A1122" s="402"/>
      <c r="B1122" s="402"/>
      <c r="C1122" s="402"/>
      <c r="D1122" s="1859"/>
      <c r="E1122" s="1859"/>
      <c r="F1122" s="1859"/>
      <c r="I1122" s="490"/>
    </row>
    <row r="1123" spans="1:9">
      <c r="A1123" s="402"/>
      <c r="B1123" s="402"/>
      <c r="C1123" s="402"/>
      <c r="D1123" s="1859"/>
      <c r="E1123" s="1859"/>
      <c r="F1123" s="1859"/>
      <c r="I1123" s="490"/>
    </row>
    <row r="1124" spans="1:9">
      <c r="A1124" s="402"/>
      <c r="B1124" s="402"/>
      <c r="C1124" s="402"/>
      <c r="D1124" s="527"/>
      <c r="I1124" s="490"/>
    </row>
    <row r="1125" spans="1:9">
      <c r="A1125" s="402"/>
      <c r="B1125" s="485" t="s">
        <v>307</v>
      </c>
      <c r="C1125" s="402"/>
      <c r="D1125" s="1502" t="s">
        <v>1861</v>
      </c>
      <c r="E1125" s="1502"/>
      <c r="F1125" s="1502"/>
      <c r="I1125" s="490"/>
    </row>
    <row r="1126" spans="1:9">
      <c r="A1126" s="402"/>
      <c r="B1126" s="402"/>
      <c r="C1126" s="402"/>
      <c r="D1126" s="1502"/>
      <c r="E1126" s="1502"/>
      <c r="F1126" s="1502"/>
      <c r="I1126" s="490"/>
    </row>
    <row r="1127" spans="1:9">
      <c r="A1127" s="402"/>
      <c r="B1127" s="402"/>
      <c r="C1127" s="402"/>
      <c r="D1127" s="1502"/>
      <c r="E1127" s="1502"/>
      <c r="F1127" s="1502"/>
      <c r="I1127" s="490"/>
    </row>
    <row r="1128" spans="1:9">
      <c r="A1128" s="402"/>
      <c r="B1128" s="402"/>
      <c r="C1128" s="402"/>
      <c r="D1128" s="975"/>
      <c r="E1128" s="975"/>
      <c r="F1128" s="975"/>
      <c r="I1128" s="490"/>
    </row>
    <row r="1129" spans="1:9" ht="15.75" customHeight="1">
      <c r="A1129" s="402"/>
      <c r="B1129" s="485" t="s">
        <v>307</v>
      </c>
      <c r="C1129" s="402"/>
      <c r="D1129" s="1480" t="s">
        <v>1862</v>
      </c>
      <c r="E1129" s="1480"/>
      <c r="F1129" s="1480"/>
      <c r="I1129" s="490"/>
    </row>
    <row r="1130" spans="1:9">
      <c r="A1130" s="402"/>
      <c r="B1130" s="402"/>
      <c r="C1130" s="402"/>
      <c r="D1130" s="1480"/>
      <c r="E1130" s="1480"/>
      <c r="F1130" s="1480"/>
      <c r="I1130" s="490"/>
    </row>
    <row r="1131" spans="1:9">
      <c r="A1131" s="402"/>
      <c r="B1131" s="402"/>
      <c r="C1131" s="402"/>
      <c r="D1131" s="1480"/>
      <c r="E1131" s="1480"/>
      <c r="F1131" s="1480"/>
      <c r="I1131" s="490"/>
    </row>
    <row r="1132" spans="1:9">
      <c r="A1132" s="402"/>
      <c r="B1132" s="402"/>
      <c r="C1132" s="402"/>
      <c r="D1132" s="1480"/>
      <c r="E1132" s="1480"/>
      <c r="F1132" s="1480"/>
      <c r="I1132" s="490"/>
    </row>
    <row r="1133" spans="1:9">
      <c r="A1133" s="402"/>
      <c r="B1133" s="402"/>
      <c r="C1133" s="402"/>
      <c r="D1133" s="975"/>
      <c r="E1133" s="975"/>
      <c r="F1133" s="975"/>
      <c r="I1133" s="490"/>
    </row>
    <row r="1134" spans="1:9">
      <c r="A1134" s="402"/>
      <c r="B1134" s="485" t="s">
        <v>307</v>
      </c>
      <c r="C1134" s="402"/>
      <c r="D1134" s="1502" t="s">
        <v>2609</v>
      </c>
      <c r="E1134" s="1502"/>
      <c r="F1134" s="1502"/>
      <c r="I1134" s="490"/>
    </row>
    <row r="1135" spans="1:9">
      <c r="A1135" s="402"/>
      <c r="B1135" s="402"/>
      <c r="C1135" s="402"/>
      <c r="D1135" s="1502"/>
      <c r="E1135" s="1502"/>
      <c r="F1135" s="1502"/>
      <c r="I1135" s="490"/>
    </row>
    <row r="1136" spans="1:9">
      <c r="A1136" s="402"/>
      <c r="B1136" s="402"/>
      <c r="C1136" s="402"/>
      <c r="D1136" s="1502"/>
      <c r="E1136" s="1502"/>
      <c r="F1136" s="1502"/>
      <c r="I1136" s="490"/>
    </row>
    <row r="1137" spans="1:9">
      <c r="A1137" s="402"/>
      <c r="B1137" s="402"/>
      <c r="C1137" s="402"/>
      <c r="D1137" s="1502"/>
      <c r="E1137" s="1502"/>
      <c r="F1137" s="1502"/>
      <c r="I1137" s="490"/>
    </row>
    <row r="1138" spans="1:9">
      <c r="A1138" s="402"/>
      <c r="B1138" s="402"/>
      <c r="C1138" s="402"/>
      <c r="D1138" s="1502"/>
      <c r="E1138" s="1502"/>
      <c r="F1138" s="1502"/>
      <c r="I1138" s="490"/>
    </row>
    <row r="1139" spans="1:9">
      <c r="A1139" s="402"/>
      <c r="B1139" s="402"/>
      <c r="C1139" s="402"/>
      <c r="D1139" s="1502"/>
      <c r="E1139" s="1502"/>
      <c r="F1139" s="1502"/>
      <c r="I1139" s="490"/>
    </row>
    <row r="1140" spans="1:9">
      <c r="A1140" s="402"/>
      <c r="B1140" s="402"/>
      <c r="C1140" s="402"/>
      <c r="D1140" s="975"/>
      <c r="E1140" s="975"/>
      <c r="F1140" s="975"/>
      <c r="I1140" s="490"/>
    </row>
    <row r="1141" spans="1:9">
      <c r="A1141" s="402"/>
      <c r="B1141" s="485" t="s">
        <v>307</v>
      </c>
      <c r="C1141" s="402"/>
      <c r="D1141" s="1815" t="s">
        <v>2581</v>
      </c>
      <c r="E1141" s="1815"/>
      <c r="F1141" s="1815"/>
      <c r="I1141" s="1153"/>
    </row>
    <row r="1142" spans="1:9">
      <c r="A1142" s="402"/>
      <c r="B1142" s="402"/>
      <c r="C1142" s="402"/>
      <c r="D1142" s="1815"/>
      <c r="E1142" s="1815"/>
      <c r="F1142" s="1815"/>
      <c r="I1142" s="490"/>
    </row>
    <row r="1143" spans="1:9">
      <c r="A1143" s="402"/>
      <c r="B1143" s="402"/>
      <c r="C1143" s="402"/>
      <c r="D1143" s="1815"/>
      <c r="E1143" s="1815"/>
      <c r="F1143" s="1815"/>
    </row>
    <row r="1144" spans="1:9">
      <c r="A1144" s="402"/>
      <c r="B1144" s="402"/>
      <c r="C1144" s="402"/>
      <c r="D1144" s="1815"/>
      <c r="E1144" s="1815"/>
      <c r="F1144" s="1815"/>
    </row>
    <row r="1145" spans="1:9">
      <c r="A1145" s="402"/>
      <c r="B1145" s="402"/>
      <c r="C1145" s="402"/>
      <c r="D1145" s="1815"/>
      <c r="E1145" s="1815"/>
      <c r="F1145" s="1815"/>
    </row>
    <row r="1146" spans="1:9">
      <c r="A1146" s="402"/>
      <c r="B1146" s="402"/>
      <c r="C1146" s="402"/>
    </row>
    <row r="1147" spans="1:9" hidden="1">
      <c r="A1147" s="402"/>
      <c r="B1147" s="402"/>
      <c r="C1147" s="402"/>
    </row>
    <row r="1148" spans="1:9" hidden="1">
      <c r="A1148" s="402"/>
      <c r="B1148" s="402"/>
      <c r="C1148" s="402"/>
    </row>
    <row r="1149" spans="1:9" hidden="1">
      <c r="A1149" s="402"/>
      <c r="B1149" s="402"/>
      <c r="C1149" s="402"/>
    </row>
    <row r="1150" spans="1:9" hidden="1">
      <c r="A1150" s="402"/>
      <c r="B1150" s="402"/>
      <c r="C1150" s="402"/>
    </row>
    <row r="1151" spans="1:9" hidden="1">
      <c r="A1151" s="402"/>
      <c r="B1151" s="402"/>
      <c r="C1151" s="402"/>
    </row>
    <row r="1152" spans="1:9" hidden="1">
      <c r="A1152" s="402"/>
      <c r="B1152" s="402"/>
      <c r="C1152" s="402"/>
    </row>
    <row r="1153" spans="1:3" hidden="1">
      <c r="A1153" s="402"/>
      <c r="B1153" s="402"/>
      <c r="C1153" s="402"/>
    </row>
    <row r="1154" spans="1:3" hidden="1">
      <c r="A1154" s="402"/>
      <c r="B1154" s="402"/>
      <c r="C1154" s="402"/>
    </row>
    <row r="1155" spans="1:3" hidden="1">
      <c r="A1155" s="402"/>
      <c r="B1155" s="402"/>
      <c r="C1155" s="402"/>
    </row>
    <row r="1156" spans="1:3" hidden="1">
      <c r="A1156" s="402"/>
      <c r="B1156" s="402"/>
      <c r="C1156" s="402"/>
    </row>
    <row r="1157" spans="1:3" hidden="1">
      <c r="A1157" s="402"/>
      <c r="B1157" s="402"/>
      <c r="C1157" s="402"/>
    </row>
    <row r="1158" spans="1:3"/>
    <row r="1159" spans="1:3"/>
    <row r="1160" spans="1:3"/>
    <row r="1161" spans="1:3"/>
    <row r="1165" spans="1:3" hidden="1">
      <c r="A1165" s="402"/>
      <c r="B1165" s="402"/>
      <c r="C1165" s="402"/>
    </row>
    <row r="1166" spans="1:3" hidden="1">
      <c r="A1166" s="402"/>
      <c r="B1166" s="402"/>
      <c r="C1166" s="402"/>
    </row>
    <row r="1167" spans="1:3" hidden="1">
      <c r="A1167" s="402"/>
      <c r="B1167" s="402"/>
      <c r="C1167" s="402"/>
    </row>
    <row r="1168" spans="1:3" hidden="1">
      <c r="A1168" s="402"/>
      <c r="B1168" s="402"/>
      <c r="C1168" s="402"/>
    </row>
    <row r="1169" spans="1:3" hidden="1">
      <c r="A1169" s="402"/>
      <c r="B1169" s="402"/>
      <c r="C1169" s="402"/>
    </row>
    <row r="1170" spans="1:3" hidden="1">
      <c r="A1170" s="402"/>
      <c r="B1170" s="402"/>
      <c r="C1170" s="402"/>
    </row>
    <row r="1171" spans="1:3" hidden="1">
      <c r="A1171" s="402"/>
      <c r="B1171" s="402"/>
      <c r="C1171" s="402"/>
    </row>
    <row r="1172" spans="1:3" hidden="1">
      <c r="A1172" s="402"/>
      <c r="B1172" s="402"/>
      <c r="C1172" s="402"/>
    </row>
    <row r="1173" spans="1:3" hidden="1">
      <c r="A1173" s="402"/>
      <c r="B1173" s="402"/>
      <c r="C1173" s="402"/>
    </row>
    <row r="1174" spans="1:3" hidden="1">
      <c r="A1174" s="402"/>
      <c r="B1174" s="402"/>
      <c r="C1174" s="402"/>
    </row>
    <row r="1175" spans="1:3" hidden="1">
      <c r="A1175" s="402"/>
      <c r="B1175" s="402"/>
      <c r="C1175" s="402"/>
    </row>
    <row r="1176" spans="1:3" hidden="1">
      <c r="A1176" s="402"/>
      <c r="B1176" s="402"/>
      <c r="C1176" s="402"/>
    </row>
    <row r="1177" spans="1:3" hidden="1">
      <c r="A1177" s="402"/>
      <c r="B1177" s="402"/>
      <c r="C1177" s="402"/>
    </row>
    <row r="1178" spans="1:3" hidden="1">
      <c r="A1178" s="402"/>
      <c r="B1178" s="402"/>
      <c r="C1178" s="402"/>
    </row>
    <row r="1179" spans="1:3" hidden="1">
      <c r="A1179" s="402"/>
      <c r="B1179" s="402"/>
      <c r="C1179" s="402"/>
    </row>
    <row r="1180" spans="1:3" hidden="1">
      <c r="A1180" s="402"/>
      <c r="B1180" s="402"/>
      <c r="C1180" s="402"/>
    </row>
    <row r="1181" spans="1:3" hidden="1">
      <c r="A1181" s="402"/>
      <c r="B1181" s="402"/>
      <c r="C1181" s="402"/>
    </row>
    <row r="1182" spans="1:3" hidden="1">
      <c r="A1182" s="402"/>
      <c r="B1182" s="402"/>
      <c r="C1182" s="402"/>
    </row>
    <row r="1183" spans="1:3" hidden="1">
      <c r="A1183" s="402"/>
      <c r="B1183" s="402"/>
      <c r="C1183" s="402"/>
    </row>
    <row r="1184" spans="1:3" hidden="1">
      <c r="A1184" s="402"/>
      <c r="B1184" s="402"/>
      <c r="C1184" s="402"/>
    </row>
    <row r="1185" spans="1:3" hidden="1">
      <c r="A1185" s="402"/>
      <c r="B1185" s="402"/>
      <c r="C1185" s="402"/>
    </row>
    <row r="1186" spans="1:3" hidden="1">
      <c r="A1186" s="402"/>
      <c r="B1186" s="402"/>
      <c r="C1186" s="402"/>
    </row>
    <row r="1187" spans="1:3" hidden="1">
      <c r="A1187" s="402"/>
      <c r="B1187" s="402"/>
      <c r="C1187" s="402"/>
    </row>
    <row r="1188" spans="1:3" hidden="1">
      <c r="A1188" s="402"/>
      <c r="B1188" s="402"/>
      <c r="C1188" s="402"/>
    </row>
    <row r="1189" spans="1:3" hidden="1">
      <c r="A1189" s="402"/>
      <c r="B1189" s="402"/>
      <c r="C1189" s="402"/>
    </row>
    <row r="1190" spans="1:3" hidden="1">
      <c r="A1190" s="402"/>
      <c r="B1190" s="402"/>
      <c r="C1190" s="402"/>
    </row>
    <row r="1191" spans="1:3" hidden="1">
      <c r="A1191" s="402"/>
      <c r="B1191" s="402"/>
      <c r="C1191" s="402"/>
    </row>
    <row r="1192" spans="1:3" hidden="1">
      <c r="A1192" s="402"/>
      <c r="B1192" s="402"/>
      <c r="C1192" s="402"/>
    </row>
    <row r="1193" spans="1:3" hidden="1">
      <c r="A1193" s="402"/>
      <c r="B1193" s="402"/>
      <c r="C1193" s="402"/>
    </row>
    <row r="1194" spans="1:3" hidden="1">
      <c r="A1194" s="402"/>
      <c r="B1194" s="402"/>
      <c r="C1194" s="402"/>
    </row>
    <row r="1195" spans="1:3" hidden="1">
      <c r="A1195" s="402"/>
      <c r="B1195" s="402"/>
      <c r="C1195" s="402"/>
    </row>
    <row r="1196" spans="1:3" hidden="1">
      <c r="A1196" s="402"/>
      <c r="B1196" s="402"/>
      <c r="C1196" s="402"/>
    </row>
    <row r="1197" spans="1:3" hidden="1">
      <c r="A1197" s="402"/>
      <c r="B1197" s="402"/>
      <c r="C1197" s="402"/>
    </row>
    <row r="1198" spans="1:3" hidden="1">
      <c r="A1198" s="402"/>
      <c r="B1198" s="402"/>
      <c r="C1198" s="402"/>
    </row>
    <row r="1199" spans="1:3" hidden="1">
      <c r="A1199" s="402"/>
      <c r="B1199" s="402"/>
      <c r="C1199" s="402"/>
    </row>
    <row r="1200" spans="1:3" hidden="1">
      <c r="A1200" s="402"/>
      <c r="B1200" s="402"/>
      <c r="C1200" s="402"/>
    </row>
    <row r="1201" spans="1:3" hidden="1">
      <c r="A1201" s="402"/>
      <c r="B1201" s="402"/>
      <c r="C1201" s="402"/>
    </row>
    <row r="1202" spans="1:3" hidden="1">
      <c r="A1202" s="402"/>
      <c r="B1202" s="402"/>
      <c r="C1202" s="402"/>
    </row>
    <row r="1203" spans="1:3" hidden="1">
      <c r="A1203" s="402"/>
      <c r="B1203" s="402"/>
      <c r="C1203" s="402"/>
    </row>
    <row r="1204" spans="1:3" hidden="1">
      <c r="A1204" s="402"/>
      <c r="B1204" s="402"/>
      <c r="C1204" s="402"/>
    </row>
    <row r="1205" spans="1:3" hidden="1">
      <c r="A1205" s="402"/>
      <c r="B1205" s="402"/>
      <c r="C1205" s="402"/>
    </row>
    <row r="1206" spans="1:3" hidden="1">
      <c r="A1206" s="402"/>
      <c r="B1206" s="402"/>
      <c r="C1206" s="402"/>
    </row>
    <row r="1207" spans="1:3" hidden="1">
      <c r="A1207" s="402"/>
      <c r="B1207" s="402"/>
      <c r="C1207" s="402"/>
    </row>
    <row r="1208" spans="1:3" hidden="1">
      <c r="A1208" s="402"/>
      <c r="B1208" s="402"/>
      <c r="C1208" s="402"/>
    </row>
    <row r="1209" spans="1:3" hidden="1">
      <c r="A1209" s="402"/>
      <c r="B1209" s="402"/>
      <c r="C1209" s="402"/>
    </row>
    <row r="1210" spans="1:3" hidden="1">
      <c r="A1210" s="402"/>
      <c r="B1210" s="402"/>
      <c r="C1210" s="402"/>
    </row>
    <row r="1211" spans="1:3" hidden="1">
      <c r="A1211" s="402"/>
      <c r="B1211" s="402"/>
      <c r="C1211" s="402"/>
    </row>
    <row r="1212" spans="1:3" hidden="1">
      <c r="A1212" s="402"/>
      <c r="B1212" s="402"/>
      <c r="C1212" s="402"/>
    </row>
    <row r="1213" spans="1:3" hidden="1">
      <c r="A1213" s="402"/>
      <c r="B1213" s="402"/>
      <c r="C1213" s="402"/>
    </row>
    <row r="1214" spans="1:3" hidden="1">
      <c r="A1214" s="402"/>
      <c r="B1214" s="402"/>
      <c r="C1214" s="402"/>
    </row>
    <row r="1215" spans="1:3" hidden="1">
      <c r="A1215" s="402"/>
      <c r="B1215" s="402"/>
      <c r="C1215" s="402"/>
    </row>
    <row r="1216" spans="1:3" hidden="1">
      <c r="A1216" s="402"/>
      <c r="B1216" s="402"/>
      <c r="C1216" s="402"/>
    </row>
    <row r="1217" spans="1:3" hidden="1">
      <c r="A1217" s="402"/>
      <c r="B1217" s="402"/>
      <c r="C1217" s="402"/>
    </row>
    <row r="1218" spans="1:3" hidden="1">
      <c r="A1218" s="402"/>
      <c r="B1218" s="402"/>
      <c r="C1218" s="402"/>
    </row>
    <row r="1219" spans="1:3" hidden="1">
      <c r="A1219" s="402"/>
      <c r="B1219" s="402"/>
      <c r="C1219" s="402"/>
    </row>
    <row r="1220" spans="1:3" hidden="1">
      <c r="A1220" s="402"/>
      <c r="B1220" s="402"/>
      <c r="C1220" s="402"/>
    </row>
    <row r="1221" spans="1:3" hidden="1">
      <c r="A1221" s="402"/>
      <c r="B1221" s="402"/>
      <c r="C1221" s="402"/>
    </row>
    <row r="1222" spans="1:3" hidden="1">
      <c r="A1222" s="402"/>
      <c r="B1222" s="402"/>
      <c r="C1222" s="402"/>
    </row>
    <row r="1223" spans="1:3" hidden="1">
      <c r="A1223" s="402"/>
      <c r="B1223" s="402"/>
      <c r="C1223" s="402"/>
    </row>
    <row r="1224" spans="1:3" hidden="1">
      <c r="A1224" s="402"/>
      <c r="B1224" s="402"/>
      <c r="C1224" s="402"/>
    </row>
    <row r="1225" spans="1:3" hidden="1">
      <c r="A1225" s="402"/>
      <c r="B1225" s="402"/>
      <c r="C1225" s="402"/>
    </row>
    <row r="1226" spans="1:3" hidden="1">
      <c r="A1226" s="402"/>
      <c r="B1226" s="402"/>
      <c r="C1226" s="402"/>
    </row>
    <row r="1227" spans="1:3" hidden="1">
      <c r="A1227" s="402"/>
      <c r="B1227" s="402"/>
      <c r="C1227" s="402"/>
    </row>
    <row r="1228" spans="1:3" hidden="1">
      <c r="A1228" s="402"/>
      <c r="B1228" s="402"/>
      <c r="C1228" s="402"/>
    </row>
    <row r="1229" spans="1:3" hidden="1">
      <c r="A1229" s="402"/>
      <c r="B1229" s="402"/>
      <c r="C1229" s="402"/>
    </row>
    <row r="1230" spans="1:3" hidden="1">
      <c r="A1230" s="402"/>
      <c r="B1230" s="402"/>
      <c r="C1230" s="402"/>
    </row>
    <row r="1231" spans="1:3" hidden="1">
      <c r="A1231" s="402"/>
      <c r="B1231" s="402"/>
      <c r="C1231" s="402"/>
    </row>
    <row r="1232" spans="1:3" hidden="1">
      <c r="A1232" s="402"/>
      <c r="B1232" s="402"/>
      <c r="C1232" s="402"/>
    </row>
    <row r="1233" spans="1:3" hidden="1">
      <c r="A1233" s="402"/>
      <c r="B1233" s="402"/>
      <c r="C1233" s="402"/>
    </row>
    <row r="1234" spans="1:3" hidden="1">
      <c r="A1234" s="402"/>
      <c r="B1234" s="402"/>
      <c r="C1234" s="402"/>
    </row>
    <row r="1235" spans="1:3" hidden="1">
      <c r="A1235" s="402"/>
      <c r="B1235" s="402"/>
      <c r="C1235" s="402"/>
    </row>
    <row r="1236" spans="1:3" hidden="1">
      <c r="A1236" s="402"/>
      <c r="B1236" s="402"/>
      <c r="C1236" s="402"/>
    </row>
    <row r="1237" spans="1:3" hidden="1">
      <c r="A1237" s="402"/>
      <c r="B1237" s="402"/>
      <c r="C1237" s="402"/>
    </row>
    <row r="1238" spans="1:3" hidden="1">
      <c r="A1238" s="402"/>
      <c r="B1238" s="402"/>
      <c r="C1238" s="402"/>
    </row>
    <row r="1239" spans="1:3" hidden="1">
      <c r="A1239" s="402"/>
      <c r="B1239" s="402"/>
      <c r="C1239" s="402"/>
    </row>
    <row r="1240" spans="1:3" hidden="1">
      <c r="A1240" s="402"/>
      <c r="B1240" s="402"/>
      <c r="C1240" s="402"/>
    </row>
    <row r="1241" spans="1:3" hidden="1">
      <c r="A1241" s="402"/>
      <c r="B1241" s="402"/>
      <c r="C1241" s="402"/>
    </row>
    <row r="1242" spans="1:3" hidden="1">
      <c r="A1242" s="402"/>
      <c r="B1242" s="402"/>
      <c r="C1242" s="402"/>
    </row>
    <row r="1243" spans="1:3" hidden="1">
      <c r="A1243" s="402"/>
      <c r="B1243" s="402"/>
      <c r="C1243" s="402"/>
    </row>
    <row r="1244" spans="1:3" hidden="1">
      <c r="A1244" s="402"/>
      <c r="B1244" s="402"/>
      <c r="C1244" s="402"/>
    </row>
    <row r="1245" spans="1:3" hidden="1">
      <c r="A1245" s="402"/>
      <c r="B1245" s="402"/>
      <c r="C1245" s="402"/>
    </row>
    <row r="1246" spans="1:3" hidden="1">
      <c r="A1246" s="402"/>
      <c r="B1246" s="402"/>
      <c r="C1246" s="402"/>
    </row>
    <row r="1247" spans="1:3" hidden="1">
      <c r="A1247" s="402"/>
      <c r="B1247" s="402"/>
      <c r="C1247" s="402"/>
    </row>
    <row r="1248" spans="1:3" hidden="1">
      <c r="A1248" s="402"/>
      <c r="B1248" s="402"/>
      <c r="C1248" s="402"/>
    </row>
    <row r="1249" spans="1:3" hidden="1">
      <c r="A1249" s="402"/>
      <c r="B1249" s="402"/>
      <c r="C1249" s="402"/>
    </row>
    <row r="1250" spans="1:3" hidden="1">
      <c r="A1250" s="402"/>
      <c r="B1250" s="402"/>
      <c r="C1250" s="402"/>
    </row>
    <row r="1251" spans="1:3" hidden="1">
      <c r="A1251" s="402"/>
      <c r="B1251" s="402"/>
      <c r="C1251" s="402"/>
    </row>
    <row r="1252" spans="1:3" hidden="1">
      <c r="A1252" s="402"/>
      <c r="B1252" s="402"/>
      <c r="C1252" s="402"/>
    </row>
    <row r="1253" spans="1:3" hidden="1">
      <c r="A1253" s="402"/>
      <c r="B1253" s="402"/>
      <c r="C1253" s="402"/>
    </row>
    <row r="1254" spans="1:3" hidden="1">
      <c r="A1254" s="402"/>
      <c r="B1254" s="402"/>
      <c r="C1254" s="402"/>
    </row>
    <row r="1255" spans="1:3" hidden="1">
      <c r="A1255" s="402"/>
      <c r="B1255" s="402"/>
      <c r="C1255" s="402"/>
    </row>
    <row r="1256" spans="1:3" hidden="1">
      <c r="A1256" s="402"/>
      <c r="B1256" s="402"/>
      <c r="C1256" s="402"/>
    </row>
    <row r="1257" spans="1:3" hidden="1">
      <c r="A1257" s="402"/>
      <c r="B1257" s="402"/>
      <c r="C1257" s="402"/>
    </row>
    <row r="1258" spans="1:3" hidden="1">
      <c r="A1258" s="402"/>
      <c r="B1258" s="402"/>
      <c r="C1258" s="402"/>
    </row>
    <row r="1259" spans="1:3" hidden="1">
      <c r="A1259" s="402"/>
      <c r="B1259" s="402"/>
      <c r="C1259" s="402"/>
    </row>
    <row r="1260" spans="1:3" hidden="1">
      <c r="A1260" s="402"/>
      <c r="B1260" s="402"/>
      <c r="C1260" s="402"/>
    </row>
    <row r="1261" spans="1:3" hidden="1">
      <c r="A1261" s="402"/>
      <c r="B1261" s="402"/>
      <c r="C1261" s="402"/>
    </row>
    <row r="1262" spans="1:3" hidden="1">
      <c r="A1262" s="402"/>
      <c r="B1262" s="402"/>
      <c r="C1262" s="402"/>
    </row>
    <row r="1263" spans="1:3" hidden="1">
      <c r="A1263" s="402"/>
      <c r="B1263" s="402"/>
      <c r="C1263" s="402"/>
    </row>
    <row r="1264" spans="1:3" hidden="1">
      <c r="A1264" s="402"/>
      <c r="B1264" s="402"/>
      <c r="C1264" s="402"/>
    </row>
    <row r="1265" spans="1:3" hidden="1">
      <c r="A1265" s="402"/>
      <c r="B1265" s="402"/>
      <c r="C1265" s="402"/>
    </row>
    <row r="1266" spans="1:3" hidden="1">
      <c r="A1266" s="402"/>
      <c r="B1266" s="402"/>
      <c r="C1266" s="402"/>
    </row>
    <row r="1267" spans="1:3" hidden="1">
      <c r="A1267" s="402"/>
      <c r="B1267" s="402"/>
      <c r="C1267" s="402"/>
    </row>
    <row r="1268" spans="1:3" hidden="1">
      <c r="A1268" s="402"/>
      <c r="B1268" s="402"/>
      <c r="C1268" s="402"/>
    </row>
    <row r="1269" spans="1:3" hidden="1">
      <c r="A1269" s="402"/>
      <c r="B1269" s="402"/>
      <c r="C1269" s="402"/>
    </row>
    <row r="1270" spans="1:3" hidden="1">
      <c r="A1270" s="402"/>
      <c r="B1270" s="402"/>
      <c r="C1270" s="402"/>
    </row>
    <row r="1271" spans="1:3" hidden="1">
      <c r="A1271" s="402"/>
      <c r="B1271" s="402"/>
      <c r="C1271" s="402"/>
    </row>
    <row r="1272" spans="1:3" hidden="1">
      <c r="A1272" s="402"/>
      <c r="B1272" s="402"/>
      <c r="C1272" s="402"/>
    </row>
    <row r="1273" spans="1:3" hidden="1">
      <c r="A1273" s="402"/>
      <c r="B1273" s="402"/>
      <c r="C1273" s="402"/>
    </row>
    <row r="1274" spans="1:3" hidden="1">
      <c r="A1274" s="402"/>
      <c r="B1274" s="402"/>
      <c r="C1274" s="402"/>
    </row>
    <row r="1275" spans="1:3" hidden="1">
      <c r="A1275" s="402"/>
      <c r="B1275" s="402"/>
      <c r="C1275" s="402"/>
    </row>
    <row r="1276" spans="1:3" hidden="1">
      <c r="A1276" s="402"/>
      <c r="B1276" s="402"/>
      <c r="C1276" s="402"/>
    </row>
    <row r="1277" spans="1:3" hidden="1">
      <c r="A1277" s="402"/>
      <c r="B1277" s="402"/>
      <c r="C1277" s="402"/>
    </row>
    <row r="1278" spans="1:3" hidden="1">
      <c r="A1278" s="402"/>
      <c r="B1278" s="402"/>
      <c r="C1278" s="402"/>
    </row>
    <row r="1279" spans="1:3" hidden="1">
      <c r="A1279" s="402"/>
      <c r="B1279" s="402"/>
      <c r="C1279" s="402"/>
    </row>
    <row r="1280" spans="1:3" hidden="1">
      <c r="A1280" s="402"/>
      <c r="B1280" s="402"/>
      <c r="C1280" s="402"/>
    </row>
    <row r="1281" spans="1:3" hidden="1">
      <c r="A1281" s="402"/>
      <c r="B1281" s="402"/>
      <c r="C1281" s="402"/>
    </row>
    <row r="1282" spans="1:3" hidden="1">
      <c r="A1282" s="402"/>
      <c r="B1282" s="402"/>
      <c r="C1282" s="402"/>
    </row>
    <row r="1283" spans="1:3" hidden="1">
      <c r="A1283" s="402"/>
      <c r="B1283" s="402"/>
      <c r="C1283" s="402"/>
    </row>
    <row r="1284" spans="1:3" hidden="1">
      <c r="A1284" s="402"/>
      <c r="B1284" s="402"/>
      <c r="C1284" s="402"/>
    </row>
    <row r="1285" spans="1:3" hidden="1">
      <c r="A1285" s="402"/>
      <c r="B1285" s="402"/>
      <c r="C1285" s="402"/>
    </row>
    <row r="1286" spans="1:3" hidden="1">
      <c r="A1286" s="402"/>
      <c r="B1286" s="402"/>
      <c r="C1286" s="402"/>
    </row>
    <row r="1287" spans="1:3" hidden="1">
      <c r="A1287" s="402"/>
      <c r="B1287" s="402"/>
      <c r="C1287" s="402"/>
    </row>
    <row r="1288" spans="1:3" hidden="1">
      <c r="A1288" s="402"/>
      <c r="B1288" s="402"/>
      <c r="C1288" s="402"/>
    </row>
    <row r="1289" spans="1:3" hidden="1">
      <c r="A1289" s="402"/>
      <c r="B1289" s="402"/>
      <c r="C1289" s="402"/>
    </row>
    <row r="1290" spans="1:3" hidden="1">
      <c r="A1290" s="402"/>
      <c r="B1290" s="402"/>
      <c r="C1290" s="402"/>
    </row>
    <row r="1291" spans="1:3" hidden="1">
      <c r="A1291" s="402"/>
      <c r="B1291" s="402"/>
      <c r="C1291" s="402"/>
    </row>
    <row r="1292" spans="1:3" hidden="1">
      <c r="A1292" s="402"/>
      <c r="B1292" s="402"/>
      <c r="C1292" s="402"/>
    </row>
    <row r="1293" spans="1:3" hidden="1">
      <c r="A1293" s="402"/>
      <c r="B1293" s="402"/>
      <c r="C1293" s="402"/>
    </row>
    <row r="1294" spans="1:3" hidden="1">
      <c r="A1294" s="402"/>
      <c r="B1294" s="402"/>
      <c r="C1294" s="402"/>
    </row>
    <row r="1295" spans="1:3" hidden="1">
      <c r="A1295" s="402"/>
      <c r="B1295" s="402"/>
      <c r="C1295" s="402"/>
    </row>
    <row r="1296" spans="1:3" hidden="1">
      <c r="A1296" s="402"/>
      <c r="B1296" s="402"/>
      <c r="C1296" s="402"/>
    </row>
    <row r="1297" spans="1:3" hidden="1">
      <c r="A1297" s="402"/>
      <c r="B1297" s="402"/>
      <c r="C1297" s="402"/>
    </row>
    <row r="1298" spans="1:3" hidden="1">
      <c r="A1298" s="402"/>
      <c r="B1298" s="402"/>
      <c r="C1298" s="402"/>
    </row>
    <row r="1299" spans="1:3" hidden="1">
      <c r="A1299" s="402"/>
      <c r="B1299" s="402"/>
      <c r="C1299" s="402"/>
    </row>
    <row r="1300" spans="1:3" hidden="1">
      <c r="A1300" s="402"/>
      <c r="B1300" s="402"/>
      <c r="C1300" s="402"/>
    </row>
    <row r="1301" spans="1:3" hidden="1">
      <c r="A1301" s="402"/>
      <c r="B1301" s="402"/>
      <c r="C1301" s="402"/>
    </row>
    <row r="1302" spans="1:3" hidden="1">
      <c r="A1302" s="402"/>
      <c r="B1302" s="402"/>
      <c r="C1302" s="402"/>
    </row>
    <row r="1303" spans="1:3" hidden="1">
      <c r="A1303" s="402"/>
      <c r="B1303" s="402"/>
      <c r="C1303" s="402"/>
    </row>
    <row r="1304" spans="1:3" hidden="1">
      <c r="A1304" s="402"/>
      <c r="B1304" s="402"/>
      <c r="C1304" s="402"/>
    </row>
    <row r="1305" spans="1:3" hidden="1">
      <c r="A1305" s="402"/>
      <c r="B1305" s="402"/>
      <c r="C1305" s="402"/>
    </row>
    <row r="1306" spans="1:3" hidden="1">
      <c r="A1306" s="402"/>
      <c r="B1306" s="402"/>
      <c r="C1306" s="402"/>
    </row>
    <row r="1307" spans="1:3" hidden="1">
      <c r="A1307" s="402"/>
      <c r="B1307" s="402"/>
      <c r="C1307" s="402"/>
    </row>
    <row r="1308" spans="1:3" hidden="1">
      <c r="A1308" s="402"/>
      <c r="B1308" s="402"/>
      <c r="C1308" s="402"/>
    </row>
    <row r="1309" spans="1:3" hidden="1">
      <c r="A1309" s="402"/>
      <c r="B1309" s="402"/>
      <c r="C1309" s="402"/>
    </row>
    <row r="1310" spans="1:3" hidden="1">
      <c r="A1310" s="402"/>
      <c r="B1310" s="402"/>
      <c r="C1310" s="402"/>
    </row>
    <row r="1311" spans="1:3" hidden="1">
      <c r="A1311" s="402"/>
      <c r="B1311" s="402"/>
      <c r="C1311" s="402"/>
    </row>
    <row r="1312" spans="1:3" hidden="1">
      <c r="A1312" s="402"/>
      <c r="B1312" s="402"/>
      <c r="C1312" s="402"/>
    </row>
    <row r="1313" spans="1:3" hidden="1">
      <c r="A1313" s="402"/>
      <c r="B1313" s="402"/>
      <c r="C1313" s="402"/>
    </row>
    <row r="1314" spans="1:3" hidden="1">
      <c r="A1314" s="402"/>
      <c r="B1314" s="402"/>
      <c r="C1314" s="402"/>
    </row>
    <row r="1315" spans="1:3" hidden="1">
      <c r="A1315" s="402"/>
      <c r="B1315" s="402"/>
      <c r="C1315" s="402"/>
    </row>
    <row r="1316" spans="1:3" hidden="1">
      <c r="A1316" s="402"/>
      <c r="B1316" s="402"/>
      <c r="C1316" s="402"/>
    </row>
    <row r="1317" spans="1:3" hidden="1">
      <c r="A1317" s="402"/>
      <c r="B1317" s="402"/>
      <c r="C1317" s="402"/>
    </row>
    <row r="1318" spans="1:3" hidden="1">
      <c r="A1318" s="402"/>
      <c r="B1318" s="402"/>
      <c r="C1318" s="402"/>
    </row>
    <row r="1319" spans="1:3" hidden="1">
      <c r="A1319" s="402"/>
      <c r="B1319" s="402"/>
      <c r="C1319" s="402"/>
    </row>
    <row r="1320" spans="1:3" hidden="1">
      <c r="A1320" s="402"/>
      <c r="B1320" s="402"/>
      <c r="C1320" s="402"/>
    </row>
    <row r="1321" spans="1:3" hidden="1">
      <c r="A1321" s="402"/>
      <c r="B1321" s="402"/>
      <c r="C1321" s="402"/>
    </row>
    <row r="1322" spans="1:3" hidden="1">
      <c r="A1322" s="402"/>
      <c r="B1322" s="402"/>
      <c r="C1322" s="402"/>
    </row>
    <row r="1323" spans="1:3" hidden="1">
      <c r="A1323" s="402"/>
      <c r="B1323" s="402"/>
      <c r="C1323" s="402"/>
    </row>
    <row r="1324" spans="1:3" hidden="1">
      <c r="A1324" s="402"/>
      <c r="B1324" s="402"/>
      <c r="C1324" s="402"/>
    </row>
    <row r="1325" spans="1:3" hidden="1">
      <c r="A1325" s="402"/>
      <c r="B1325" s="402"/>
      <c r="C1325" s="402"/>
    </row>
    <row r="1326" spans="1:3" hidden="1">
      <c r="A1326" s="402"/>
      <c r="B1326" s="402"/>
      <c r="C1326" s="402"/>
    </row>
    <row r="1327" spans="1:3" hidden="1">
      <c r="A1327" s="402"/>
      <c r="B1327" s="402"/>
      <c r="C1327" s="402"/>
    </row>
    <row r="1328" spans="1:3" hidden="1">
      <c r="A1328" s="402"/>
      <c r="B1328" s="402"/>
      <c r="C1328" s="402"/>
    </row>
    <row r="1329" spans="1:3" hidden="1">
      <c r="A1329" s="402"/>
      <c r="B1329" s="402"/>
      <c r="C1329" s="402"/>
    </row>
    <row r="1330" spans="1:3" hidden="1">
      <c r="A1330" s="402"/>
      <c r="B1330" s="402"/>
      <c r="C1330" s="402"/>
    </row>
    <row r="1331" spans="1:3" hidden="1">
      <c r="A1331" s="402"/>
      <c r="B1331" s="402"/>
      <c r="C1331" s="402"/>
    </row>
    <row r="1332" spans="1:3" hidden="1">
      <c r="A1332" s="402"/>
      <c r="B1332" s="402"/>
      <c r="C1332" s="402"/>
    </row>
    <row r="1333" spans="1:3" hidden="1">
      <c r="A1333" s="402"/>
      <c r="B1333" s="402"/>
      <c r="C1333" s="402"/>
    </row>
    <row r="1334" spans="1:3" hidden="1">
      <c r="A1334" s="402"/>
      <c r="B1334" s="402"/>
      <c r="C1334" s="402"/>
    </row>
    <row r="1335" spans="1:3" hidden="1">
      <c r="A1335" s="402"/>
      <c r="B1335" s="402"/>
      <c r="C1335" s="402"/>
    </row>
    <row r="1336" spans="1:3" hidden="1">
      <c r="A1336" s="402"/>
      <c r="B1336" s="402"/>
      <c r="C1336" s="402"/>
    </row>
    <row r="1337" spans="1:3" hidden="1">
      <c r="A1337" s="402"/>
      <c r="B1337" s="402"/>
      <c r="C1337" s="402"/>
    </row>
    <row r="1338" spans="1:3" hidden="1">
      <c r="A1338" s="402"/>
      <c r="B1338" s="402"/>
      <c r="C1338" s="402"/>
    </row>
    <row r="1339" spans="1:3" hidden="1">
      <c r="A1339" s="402"/>
      <c r="B1339" s="402"/>
      <c r="C1339" s="402"/>
    </row>
    <row r="1340" spans="1:3" hidden="1">
      <c r="A1340" s="402"/>
      <c r="B1340" s="402"/>
      <c r="C1340" s="402"/>
    </row>
    <row r="1341" spans="1:3" hidden="1">
      <c r="A1341" s="402"/>
      <c r="B1341" s="402"/>
      <c r="C1341" s="402"/>
    </row>
    <row r="1342" spans="1:3" hidden="1">
      <c r="A1342" s="402"/>
      <c r="B1342" s="402"/>
      <c r="C1342" s="402"/>
    </row>
    <row r="1343" spans="1:3" hidden="1">
      <c r="A1343" s="402"/>
      <c r="B1343" s="402"/>
      <c r="C1343" s="402"/>
    </row>
    <row r="1344" spans="1:3" hidden="1">
      <c r="A1344" s="402"/>
      <c r="B1344" s="402"/>
      <c r="C1344" s="402"/>
    </row>
    <row r="1345" spans="1:3" hidden="1">
      <c r="A1345" s="402"/>
      <c r="B1345" s="402"/>
      <c r="C1345" s="402"/>
    </row>
    <row r="1346" spans="1:3" hidden="1">
      <c r="A1346" s="402"/>
      <c r="B1346" s="402"/>
      <c r="C1346" s="402"/>
    </row>
    <row r="1347" spans="1:3" hidden="1">
      <c r="A1347" s="402"/>
      <c r="B1347" s="402"/>
      <c r="C1347" s="402"/>
    </row>
    <row r="1348" spans="1:3" hidden="1">
      <c r="A1348" s="402"/>
      <c r="B1348" s="402"/>
      <c r="C1348" s="402"/>
    </row>
    <row r="1349" spans="1:3" hidden="1">
      <c r="A1349" s="402"/>
      <c r="B1349" s="402"/>
      <c r="C1349" s="402"/>
    </row>
    <row r="1350" spans="1:3" hidden="1">
      <c r="A1350" s="402"/>
      <c r="B1350" s="402"/>
      <c r="C1350" s="402"/>
    </row>
    <row r="1351" spans="1:3" hidden="1">
      <c r="A1351" s="402"/>
      <c r="B1351" s="402"/>
      <c r="C1351" s="402"/>
    </row>
    <row r="1352" spans="1:3" hidden="1">
      <c r="A1352" s="402"/>
      <c r="B1352" s="402"/>
      <c r="C1352" s="402"/>
    </row>
    <row r="1353" spans="1:3" hidden="1">
      <c r="A1353" s="402"/>
      <c r="B1353" s="402"/>
      <c r="C1353" s="402"/>
    </row>
    <row r="1354" spans="1:3" hidden="1">
      <c r="A1354" s="402"/>
      <c r="B1354" s="402"/>
      <c r="C1354" s="402"/>
    </row>
    <row r="1355" spans="1:3" hidden="1">
      <c r="A1355" s="402"/>
      <c r="B1355" s="402"/>
      <c r="C1355" s="402"/>
    </row>
    <row r="1356" spans="1:3" hidden="1">
      <c r="A1356" s="402"/>
      <c r="B1356" s="402"/>
      <c r="C1356" s="402"/>
    </row>
    <row r="1357" spans="1:3" hidden="1">
      <c r="A1357" s="402"/>
      <c r="B1357" s="402"/>
      <c r="C1357" s="402"/>
    </row>
    <row r="1358" spans="1:3" hidden="1">
      <c r="A1358" s="402"/>
      <c r="B1358" s="402"/>
      <c r="C1358" s="402"/>
    </row>
    <row r="1359" spans="1:3" hidden="1">
      <c r="A1359" s="402"/>
      <c r="B1359" s="402"/>
      <c r="C1359" s="402"/>
    </row>
    <row r="1360" spans="1:3" hidden="1">
      <c r="A1360" s="402"/>
      <c r="B1360" s="402"/>
      <c r="C1360" s="402"/>
    </row>
    <row r="1361" spans="1:3" hidden="1">
      <c r="A1361" s="402"/>
      <c r="B1361" s="402"/>
      <c r="C1361" s="402"/>
    </row>
    <row r="1362" spans="1:3" hidden="1">
      <c r="A1362" s="402"/>
      <c r="B1362" s="402"/>
      <c r="C1362" s="402"/>
    </row>
    <row r="1363" spans="1:3" hidden="1">
      <c r="A1363" s="402"/>
      <c r="B1363" s="402"/>
      <c r="C1363" s="402"/>
    </row>
    <row r="1364" spans="1:3" hidden="1">
      <c r="A1364" s="402"/>
      <c r="B1364" s="402"/>
      <c r="C1364" s="402"/>
    </row>
    <row r="1365" spans="1:3" hidden="1">
      <c r="A1365" s="402"/>
      <c r="B1365" s="402"/>
      <c r="C1365" s="402"/>
    </row>
    <row r="1366" spans="1:3" hidden="1">
      <c r="A1366" s="402"/>
      <c r="B1366" s="402"/>
      <c r="C1366" s="402"/>
    </row>
    <row r="1367" spans="1:3" hidden="1">
      <c r="A1367" s="402"/>
      <c r="B1367" s="402"/>
      <c r="C1367" s="402"/>
    </row>
    <row r="1368" spans="1:3" hidden="1">
      <c r="A1368" s="402"/>
      <c r="B1368" s="402"/>
      <c r="C1368" s="402"/>
    </row>
    <row r="1369" spans="1:3" hidden="1">
      <c r="A1369" s="402"/>
      <c r="B1369" s="402"/>
      <c r="C1369" s="402"/>
    </row>
    <row r="1370" spans="1:3" hidden="1">
      <c r="A1370" s="402"/>
      <c r="B1370" s="402"/>
      <c r="C1370" s="402"/>
    </row>
    <row r="1371" spans="1:3" hidden="1">
      <c r="A1371" s="402"/>
      <c r="B1371" s="402"/>
      <c r="C1371" s="402"/>
    </row>
    <row r="1372" spans="1:3" hidden="1">
      <c r="A1372" s="402"/>
      <c r="B1372" s="402"/>
      <c r="C1372" s="402"/>
    </row>
    <row r="1373" spans="1:3" hidden="1">
      <c r="A1373" s="402"/>
      <c r="B1373" s="402"/>
      <c r="C1373" s="402"/>
    </row>
    <row r="1374" spans="1:3" hidden="1">
      <c r="A1374" s="402"/>
      <c r="B1374" s="402"/>
      <c r="C1374" s="402"/>
    </row>
    <row r="1375" spans="1:3" hidden="1">
      <c r="A1375" s="402"/>
      <c r="B1375" s="402"/>
      <c r="C1375" s="402"/>
    </row>
    <row r="1376" spans="1:3" hidden="1">
      <c r="A1376" s="402"/>
      <c r="B1376" s="402"/>
      <c r="C1376" s="402"/>
    </row>
    <row r="1377" spans="1:3" hidden="1">
      <c r="A1377" s="402"/>
      <c r="B1377" s="402"/>
      <c r="C1377" s="402"/>
    </row>
    <row r="1378" spans="1:3" hidden="1">
      <c r="A1378" s="402"/>
      <c r="B1378" s="402"/>
      <c r="C1378" s="402"/>
    </row>
    <row r="1379" spans="1:3" hidden="1">
      <c r="A1379" s="402"/>
      <c r="B1379" s="402"/>
      <c r="C1379" s="402"/>
    </row>
    <row r="1380" spans="1:3" hidden="1">
      <c r="A1380" s="402"/>
      <c r="B1380" s="402"/>
      <c r="C1380" s="402"/>
    </row>
    <row r="1381" spans="1:3" hidden="1">
      <c r="A1381" s="402"/>
      <c r="B1381" s="402"/>
      <c r="C1381" s="402"/>
    </row>
    <row r="1382" spans="1:3" hidden="1">
      <c r="A1382" s="402"/>
      <c r="B1382" s="402"/>
      <c r="C1382" s="402"/>
    </row>
    <row r="1383" spans="1:3" hidden="1">
      <c r="A1383" s="402"/>
      <c r="B1383" s="402"/>
      <c r="C1383" s="402"/>
    </row>
    <row r="1384" spans="1:3" hidden="1">
      <c r="A1384" s="402"/>
      <c r="B1384" s="402"/>
      <c r="C1384" s="402"/>
    </row>
    <row r="1385" spans="1:3" hidden="1">
      <c r="A1385" s="402"/>
      <c r="B1385" s="402"/>
      <c r="C1385" s="402"/>
    </row>
    <row r="1386" spans="1:3" hidden="1">
      <c r="A1386" s="402"/>
      <c r="B1386" s="402"/>
      <c r="C1386" s="402"/>
    </row>
    <row r="1387" spans="1:3" hidden="1">
      <c r="A1387" s="402"/>
      <c r="B1387" s="402"/>
      <c r="C1387" s="402"/>
    </row>
    <row r="1388" spans="1:3" hidden="1">
      <c r="A1388" s="402"/>
      <c r="B1388" s="402"/>
      <c r="C1388" s="402"/>
    </row>
    <row r="1389" spans="1:3" hidden="1">
      <c r="A1389" s="402"/>
      <c r="B1389" s="402"/>
      <c r="C1389" s="402"/>
    </row>
    <row r="1390" spans="1:3" hidden="1">
      <c r="A1390" s="402"/>
      <c r="B1390" s="402"/>
      <c r="C1390" s="402"/>
    </row>
    <row r="1391" spans="1:3" hidden="1">
      <c r="A1391" s="402"/>
      <c r="B1391" s="402"/>
      <c r="C1391" s="402"/>
    </row>
    <row r="1392" spans="1:3" hidden="1">
      <c r="A1392" s="402"/>
      <c r="B1392" s="402"/>
      <c r="C1392" s="402"/>
    </row>
    <row r="1393" spans="1:3" hidden="1">
      <c r="A1393" s="402"/>
      <c r="B1393" s="402"/>
      <c r="C1393" s="402"/>
    </row>
    <row r="1394" spans="1:3" hidden="1">
      <c r="A1394" s="402"/>
      <c r="B1394" s="402"/>
      <c r="C1394" s="402"/>
    </row>
    <row r="1395" spans="1:3" hidden="1">
      <c r="A1395" s="402"/>
      <c r="B1395" s="402"/>
      <c r="C1395" s="402"/>
    </row>
    <row r="1396" spans="1:3" hidden="1">
      <c r="A1396" s="402"/>
      <c r="B1396" s="402"/>
      <c r="C1396" s="402"/>
    </row>
    <row r="1397" spans="1:3" hidden="1">
      <c r="A1397" s="402"/>
      <c r="B1397" s="402"/>
      <c r="C1397" s="402"/>
    </row>
    <row r="1398" spans="1:3" hidden="1">
      <c r="A1398" s="402"/>
      <c r="B1398" s="402"/>
      <c r="C1398" s="402"/>
    </row>
    <row r="1399" spans="1:3" hidden="1">
      <c r="A1399" s="402"/>
      <c r="B1399" s="402"/>
      <c r="C1399" s="402"/>
    </row>
    <row r="1400" spans="1:3" hidden="1">
      <c r="A1400" s="402"/>
      <c r="B1400" s="402"/>
      <c r="C1400" s="402"/>
    </row>
    <row r="1401" spans="1:3" hidden="1">
      <c r="A1401" s="402"/>
      <c r="B1401" s="402"/>
      <c r="C1401" s="402"/>
    </row>
    <row r="1402" spans="1:3" hidden="1">
      <c r="A1402" s="402"/>
      <c r="B1402" s="402"/>
      <c r="C1402" s="402"/>
    </row>
    <row r="1403" spans="1:3" hidden="1">
      <c r="A1403" s="402"/>
      <c r="B1403" s="402"/>
      <c r="C1403" s="402"/>
    </row>
    <row r="1404" spans="1:3" hidden="1">
      <c r="A1404" s="402"/>
      <c r="B1404" s="402"/>
      <c r="C1404" s="402"/>
    </row>
    <row r="1407" spans="1:3" hidden="1">
      <c r="A1407" s="402"/>
      <c r="B1407" s="402"/>
      <c r="C1407" s="402"/>
    </row>
    <row r="1408" spans="1:3" hidden="1">
      <c r="A1408" s="402"/>
      <c r="B1408" s="402"/>
      <c r="C1408" s="402"/>
    </row>
    <row r="1409" spans="1:3" hidden="1">
      <c r="A1409" s="402"/>
      <c r="B1409" s="402"/>
      <c r="C1409" s="402"/>
    </row>
    <row r="1410" spans="1:3" hidden="1">
      <c r="A1410" s="402"/>
      <c r="B1410" s="402"/>
      <c r="C1410" s="402"/>
    </row>
    <row r="1411" spans="1:3" hidden="1">
      <c r="A1411" s="402"/>
      <c r="B1411" s="402"/>
      <c r="C1411" s="402"/>
    </row>
    <row r="1412" spans="1:3" hidden="1">
      <c r="A1412" s="402"/>
      <c r="B1412" s="402"/>
      <c r="C1412" s="402"/>
    </row>
    <row r="1413" spans="1:3" hidden="1">
      <c r="A1413" s="402"/>
      <c r="B1413" s="402"/>
      <c r="C1413" s="402"/>
    </row>
    <row r="1414" spans="1:3" hidden="1">
      <c r="A1414" s="402"/>
      <c r="B1414" s="402"/>
      <c r="C1414" s="402"/>
    </row>
    <row r="1415" spans="1:3" hidden="1">
      <c r="A1415" s="402"/>
      <c r="B1415" s="402"/>
      <c r="C1415" s="402"/>
    </row>
    <row r="1416" spans="1:3" hidden="1">
      <c r="A1416" s="402"/>
      <c r="B1416" s="402"/>
      <c r="C1416" s="402"/>
    </row>
    <row r="1417" spans="1:3" hidden="1">
      <c r="A1417" s="402"/>
      <c r="B1417" s="402"/>
      <c r="C1417" s="402"/>
    </row>
    <row r="1418" spans="1:3" hidden="1">
      <c r="A1418" s="402"/>
      <c r="B1418" s="402"/>
      <c r="C1418" s="402"/>
    </row>
    <row r="1419" spans="1:3" hidden="1">
      <c r="A1419" s="402"/>
      <c r="B1419" s="402"/>
      <c r="C1419" s="402"/>
    </row>
    <row r="1420" spans="1:3" hidden="1">
      <c r="A1420" s="402"/>
      <c r="B1420" s="402"/>
      <c r="C1420" s="402"/>
    </row>
    <row r="1421" spans="1:3" hidden="1">
      <c r="A1421" s="402"/>
      <c r="B1421" s="402"/>
      <c r="C1421" s="402"/>
    </row>
    <row r="1422" spans="1:3" hidden="1">
      <c r="A1422" s="402"/>
      <c r="B1422" s="402"/>
      <c r="C1422" s="402"/>
    </row>
    <row r="1423" spans="1:3" hidden="1">
      <c r="A1423" s="402"/>
      <c r="B1423" s="402"/>
      <c r="C1423" s="402"/>
    </row>
    <row r="1424" spans="1:3" hidden="1">
      <c r="A1424" s="402"/>
      <c r="B1424" s="402"/>
      <c r="C1424" s="402"/>
    </row>
    <row r="1425" spans="1:3" hidden="1">
      <c r="A1425" s="402"/>
      <c r="B1425" s="402"/>
      <c r="C1425" s="402"/>
    </row>
    <row r="1426" spans="1:3" hidden="1">
      <c r="A1426" s="402"/>
      <c r="B1426" s="402"/>
      <c r="C1426" s="402"/>
    </row>
    <row r="1427" spans="1:3" hidden="1">
      <c r="A1427" s="402"/>
      <c r="B1427" s="402"/>
      <c r="C1427" s="402"/>
    </row>
    <row r="1428" spans="1:3" hidden="1">
      <c r="A1428" s="402"/>
      <c r="B1428" s="402"/>
      <c r="C1428" s="402"/>
    </row>
    <row r="1429" spans="1:3" hidden="1">
      <c r="A1429" s="402"/>
      <c r="B1429" s="402"/>
      <c r="C1429" s="402"/>
    </row>
    <row r="1430" spans="1:3" hidden="1">
      <c r="A1430" s="402"/>
      <c r="B1430" s="402"/>
      <c r="C1430" s="402"/>
    </row>
    <row r="1431" spans="1:3" hidden="1">
      <c r="A1431" s="402"/>
      <c r="B1431" s="402"/>
      <c r="C1431" s="402"/>
    </row>
    <row r="1432" spans="1:3" hidden="1">
      <c r="A1432" s="402"/>
      <c r="B1432" s="402"/>
      <c r="C1432" s="402"/>
    </row>
    <row r="1433" spans="1:3" hidden="1">
      <c r="A1433" s="402"/>
      <c r="B1433" s="402"/>
      <c r="C1433" s="402"/>
    </row>
    <row r="1434" spans="1:3" hidden="1">
      <c r="A1434" s="402"/>
      <c r="B1434" s="402"/>
      <c r="C1434" s="402"/>
    </row>
    <row r="1435" spans="1:3" hidden="1">
      <c r="A1435" s="402"/>
      <c r="B1435" s="402"/>
      <c r="C1435" s="402"/>
    </row>
    <row r="1436" spans="1:3" hidden="1">
      <c r="A1436" s="402"/>
      <c r="B1436" s="402"/>
      <c r="C1436" s="402"/>
    </row>
    <row r="1437" spans="1:3" hidden="1">
      <c r="A1437" s="402"/>
      <c r="B1437" s="402"/>
      <c r="C1437" s="402"/>
    </row>
    <row r="1438" spans="1:3" hidden="1">
      <c r="A1438" s="402"/>
      <c r="B1438" s="402"/>
      <c r="C1438" s="402"/>
    </row>
    <row r="1439" spans="1:3" hidden="1">
      <c r="A1439" s="402"/>
      <c r="B1439" s="402"/>
      <c r="C1439" s="402"/>
    </row>
    <row r="1440" spans="1:3" hidden="1">
      <c r="A1440" s="402"/>
      <c r="B1440" s="402"/>
      <c r="C1440" s="402"/>
    </row>
    <row r="1441" spans="1:3" hidden="1">
      <c r="A1441" s="402"/>
      <c r="B1441" s="402"/>
      <c r="C1441" s="402"/>
    </row>
    <row r="1442" spans="1:3" hidden="1">
      <c r="A1442" s="402"/>
      <c r="B1442" s="402"/>
      <c r="C1442" s="402"/>
    </row>
    <row r="1443" spans="1:3" hidden="1">
      <c r="A1443" s="402"/>
      <c r="B1443" s="402"/>
      <c r="C1443" s="402"/>
    </row>
    <row r="1444" spans="1:3" hidden="1">
      <c r="A1444" s="402"/>
      <c r="B1444" s="402"/>
      <c r="C1444" s="402"/>
    </row>
    <row r="1445" spans="1:3" hidden="1">
      <c r="A1445" s="402"/>
      <c r="B1445" s="402"/>
      <c r="C1445" s="402"/>
    </row>
    <row r="1446" spans="1:3" hidden="1">
      <c r="A1446" s="402"/>
      <c r="B1446" s="402"/>
      <c r="C1446" s="402"/>
    </row>
    <row r="1447" spans="1:3" hidden="1">
      <c r="A1447" s="402"/>
      <c r="B1447" s="402"/>
      <c r="C1447" s="402"/>
    </row>
    <row r="1448" spans="1:3" hidden="1">
      <c r="A1448" s="402"/>
      <c r="B1448" s="402"/>
      <c r="C1448" s="402"/>
    </row>
    <row r="1449" spans="1:3" hidden="1">
      <c r="A1449" s="402"/>
      <c r="B1449" s="402"/>
      <c r="C1449" s="402"/>
    </row>
    <row r="1450" spans="1:3" hidden="1">
      <c r="A1450" s="402"/>
      <c r="B1450" s="402"/>
      <c r="C1450" s="402"/>
    </row>
    <row r="1451" spans="1:3" hidden="1">
      <c r="A1451" s="402"/>
      <c r="B1451" s="402"/>
      <c r="C1451" s="402"/>
    </row>
    <row r="1452" spans="1:3" hidden="1">
      <c r="A1452" s="402"/>
      <c r="B1452" s="402"/>
      <c r="C1452" s="402"/>
    </row>
    <row r="1453" spans="1:3" hidden="1">
      <c r="A1453" s="402"/>
      <c r="B1453" s="402"/>
      <c r="C1453" s="402"/>
    </row>
    <row r="1454" spans="1:3" hidden="1">
      <c r="A1454" s="402"/>
      <c r="B1454" s="402"/>
      <c r="C1454" s="402"/>
    </row>
    <row r="1455" spans="1:3" hidden="1">
      <c r="A1455" s="402"/>
      <c r="B1455" s="402"/>
      <c r="C1455" s="402"/>
    </row>
    <row r="1456" spans="1:3" hidden="1">
      <c r="A1456" s="402"/>
      <c r="B1456" s="402"/>
      <c r="C1456" s="402"/>
    </row>
    <row r="1457" spans="1:3" hidden="1">
      <c r="A1457" s="402"/>
      <c r="B1457" s="402"/>
      <c r="C1457" s="402"/>
    </row>
    <row r="1458" spans="1:3" hidden="1">
      <c r="A1458" s="402"/>
      <c r="B1458" s="402"/>
      <c r="C1458" s="402"/>
    </row>
    <row r="1459" spans="1:3" hidden="1">
      <c r="A1459" s="402"/>
      <c r="B1459" s="402"/>
      <c r="C1459" s="402"/>
    </row>
    <row r="1460" spans="1:3" hidden="1">
      <c r="A1460" s="402"/>
      <c r="B1460" s="402"/>
      <c r="C1460" s="402"/>
    </row>
    <row r="1461" spans="1:3" hidden="1">
      <c r="A1461" s="402"/>
      <c r="B1461" s="402"/>
      <c r="C1461" s="402"/>
    </row>
    <row r="1462" spans="1:3" hidden="1">
      <c r="A1462" s="402"/>
      <c r="B1462" s="402"/>
      <c r="C1462" s="402"/>
    </row>
    <row r="1463" spans="1:3" hidden="1">
      <c r="A1463" s="402"/>
      <c r="B1463" s="402"/>
      <c r="C1463" s="402"/>
    </row>
    <row r="1464" spans="1:3" hidden="1">
      <c r="A1464" s="402"/>
      <c r="B1464" s="402"/>
      <c r="C1464" s="402"/>
    </row>
    <row r="1465" spans="1:3" hidden="1">
      <c r="A1465" s="402"/>
      <c r="B1465" s="402"/>
      <c r="C1465" s="402"/>
    </row>
    <row r="1466" spans="1:3" hidden="1">
      <c r="A1466" s="402"/>
      <c r="B1466" s="402"/>
      <c r="C1466" s="402"/>
    </row>
    <row r="1467" spans="1:3" hidden="1">
      <c r="A1467" s="402"/>
      <c r="B1467" s="402"/>
      <c r="C1467" s="402"/>
    </row>
    <row r="1468" spans="1:3" hidden="1">
      <c r="A1468" s="402"/>
      <c r="B1468" s="402"/>
      <c r="C1468" s="402"/>
    </row>
    <row r="1469" spans="1:3" hidden="1">
      <c r="A1469" s="402"/>
      <c r="B1469" s="402"/>
      <c r="C1469" s="402"/>
    </row>
    <row r="1470" spans="1:3" hidden="1">
      <c r="A1470" s="402"/>
      <c r="B1470" s="402"/>
      <c r="C1470" s="402"/>
    </row>
    <row r="1471" spans="1:3" hidden="1">
      <c r="A1471" s="402"/>
      <c r="B1471" s="402"/>
      <c r="C1471" s="402"/>
    </row>
    <row r="1472" spans="1:3" hidden="1">
      <c r="A1472" s="402"/>
      <c r="B1472" s="402"/>
      <c r="C1472" s="402"/>
    </row>
    <row r="1473" spans="1:3" hidden="1">
      <c r="A1473" s="402"/>
      <c r="B1473" s="402"/>
      <c r="C1473" s="402"/>
    </row>
    <row r="1474" spans="1:3" hidden="1">
      <c r="A1474" s="402"/>
      <c r="B1474" s="402"/>
      <c r="C1474" s="402"/>
    </row>
    <row r="1475" spans="1:3" hidden="1">
      <c r="A1475" s="402"/>
      <c r="B1475" s="402"/>
      <c r="C1475" s="402"/>
    </row>
    <row r="1476" spans="1:3" hidden="1">
      <c r="A1476" s="402"/>
      <c r="B1476" s="402"/>
      <c r="C1476" s="402"/>
    </row>
    <row r="1477" spans="1:3" hidden="1">
      <c r="A1477" s="402"/>
      <c r="B1477" s="402"/>
      <c r="C1477" s="402"/>
    </row>
    <row r="1478" spans="1:3" hidden="1">
      <c r="A1478" s="402"/>
      <c r="B1478" s="402"/>
      <c r="C1478" s="402"/>
    </row>
    <row r="1479" spans="1:3" hidden="1">
      <c r="A1479" s="402"/>
      <c r="B1479" s="402"/>
      <c r="C1479" s="402"/>
    </row>
    <row r="1480" spans="1:3" hidden="1">
      <c r="A1480" s="402"/>
      <c r="B1480" s="402"/>
      <c r="C1480" s="402"/>
    </row>
    <row r="1481" spans="1:3" hidden="1">
      <c r="A1481" s="402"/>
      <c r="B1481" s="402"/>
      <c r="C1481" s="402"/>
    </row>
    <row r="1482" spans="1:3" hidden="1">
      <c r="A1482" s="402"/>
      <c r="B1482" s="402"/>
      <c r="C1482" s="402"/>
    </row>
    <row r="1483" spans="1:3" hidden="1">
      <c r="A1483" s="402"/>
      <c r="B1483" s="402"/>
      <c r="C1483" s="402"/>
    </row>
    <row r="1484" spans="1:3" hidden="1">
      <c r="A1484" s="402"/>
      <c r="B1484" s="402"/>
      <c r="C1484" s="402"/>
    </row>
    <row r="1485" spans="1:3" hidden="1">
      <c r="A1485" s="402"/>
      <c r="B1485" s="402"/>
      <c r="C1485" s="402"/>
    </row>
    <row r="1486" spans="1:3" hidden="1">
      <c r="A1486" s="402"/>
      <c r="B1486" s="402"/>
      <c r="C1486" s="402"/>
    </row>
    <row r="1487" spans="1:3" hidden="1">
      <c r="A1487" s="402"/>
      <c r="B1487" s="402"/>
      <c r="C1487" s="402"/>
    </row>
    <row r="1488" spans="1:3" hidden="1">
      <c r="A1488" s="402"/>
      <c r="B1488" s="402"/>
      <c r="C1488" s="402"/>
    </row>
    <row r="1489" spans="1:3" hidden="1">
      <c r="A1489" s="402"/>
      <c r="B1489" s="402"/>
      <c r="C1489" s="402"/>
    </row>
    <row r="1490" spans="1:3" hidden="1">
      <c r="A1490" s="402"/>
      <c r="B1490" s="402"/>
      <c r="C1490" s="402"/>
    </row>
    <row r="1491" spans="1:3" hidden="1">
      <c r="A1491" s="402"/>
      <c r="B1491" s="402"/>
      <c r="C1491" s="402"/>
    </row>
    <row r="1492" spans="1:3" hidden="1">
      <c r="A1492" s="402"/>
      <c r="B1492" s="402"/>
      <c r="C1492" s="402"/>
    </row>
    <row r="1493" spans="1:3" hidden="1">
      <c r="A1493" s="402"/>
      <c r="B1493" s="402"/>
      <c r="C1493" s="402"/>
    </row>
    <row r="1494" spans="1:3" hidden="1">
      <c r="A1494" s="402"/>
      <c r="B1494" s="402"/>
      <c r="C1494" s="402"/>
    </row>
    <row r="1495" spans="1:3" hidden="1">
      <c r="A1495" s="402"/>
      <c r="B1495" s="402"/>
      <c r="C1495" s="402"/>
    </row>
    <row r="1496" spans="1:3" hidden="1">
      <c r="A1496" s="402"/>
      <c r="B1496" s="402"/>
      <c r="C1496" s="402"/>
    </row>
    <row r="1497" spans="1:3" hidden="1">
      <c r="A1497" s="402"/>
      <c r="B1497" s="402"/>
      <c r="C1497" s="402"/>
    </row>
    <row r="1498" spans="1:3" hidden="1">
      <c r="A1498" s="402"/>
      <c r="B1498" s="402"/>
      <c r="C1498" s="402"/>
    </row>
    <row r="1499" spans="1:3" hidden="1">
      <c r="A1499" s="402"/>
      <c r="B1499" s="402"/>
      <c r="C1499" s="402"/>
    </row>
    <row r="1500" spans="1:3" hidden="1">
      <c r="A1500" s="402"/>
      <c r="B1500" s="402"/>
      <c r="C1500" s="402"/>
    </row>
    <row r="1501" spans="1:3" hidden="1">
      <c r="A1501" s="402"/>
      <c r="B1501" s="402"/>
      <c r="C1501" s="402"/>
    </row>
    <row r="1502" spans="1:3" hidden="1">
      <c r="A1502" s="402"/>
      <c r="B1502" s="402"/>
      <c r="C1502" s="402"/>
    </row>
    <row r="1503" spans="1:3" hidden="1">
      <c r="A1503" s="402"/>
      <c r="B1503" s="402"/>
      <c r="C1503" s="402"/>
    </row>
    <row r="1504" spans="1:3" hidden="1">
      <c r="A1504" s="402"/>
      <c r="B1504" s="402"/>
      <c r="C1504" s="402"/>
    </row>
    <row r="1505" spans="1:3" hidden="1">
      <c r="A1505" s="402"/>
      <c r="B1505" s="402"/>
      <c r="C1505" s="402"/>
    </row>
    <row r="1506" spans="1:3" hidden="1">
      <c r="A1506" s="402"/>
      <c r="B1506" s="402"/>
      <c r="C1506" s="402"/>
    </row>
    <row r="1507" spans="1:3" hidden="1">
      <c r="A1507" s="402"/>
      <c r="B1507" s="402"/>
      <c r="C1507" s="402"/>
    </row>
    <row r="1508" spans="1:3" hidden="1">
      <c r="A1508" s="402"/>
      <c r="B1508" s="402"/>
      <c r="C1508" s="402"/>
    </row>
    <row r="1509" spans="1:3" hidden="1">
      <c r="A1509" s="402"/>
      <c r="B1509" s="402"/>
      <c r="C1509" s="402"/>
    </row>
    <row r="1510" spans="1:3" hidden="1">
      <c r="A1510" s="402"/>
      <c r="B1510" s="402"/>
      <c r="C1510" s="402"/>
    </row>
    <row r="1511" spans="1:3" hidden="1">
      <c r="A1511" s="402"/>
      <c r="B1511" s="402"/>
      <c r="C1511" s="402"/>
    </row>
    <row r="1512" spans="1:3" hidden="1">
      <c r="A1512" s="402"/>
      <c r="B1512" s="402"/>
      <c r="C1512" s="402"/>
    </row>
    <row r="1513" spans="1:3" hidden="1">
      <c r="A1513" s="402"/>
      <c r="B1513" s="402"/>
      <c r="C1513" s="402"/>
    </row>
    <row r="1514" spans="1:3" hidden="1">
      <c r="A1514" s="402"/>
      <c r="B1514" s="402"/>
      <c r="C1514" s="402"/>
    </row>
    <row r="1515" spans="1:3" hidden="1">
      <c r="A1515" s="402"/>
      <c r="B1515" s="402"/>
      <c r="C1515" s="402"/>
    </row>
    <row r="1516" spans="1:3" hidden="1">
      <c r="A1516" s="402"/>
      <c r="B1516" s="402"/>
      <c r="C1516" s="402"/>
    </row>
    <row r="1517" spans="1:3" hidden="1">
      <c r="A1517" s="402"/>
      <c r="B1517" s="402"/>
      <c r="C1517" s="402"/>
    </row>
    <row r="1518" spans="1:3" hidden="1">
      <c r="A1518" s="402"/>
      <c r="B1518" s="402"/>
      <c r="C1518" s="402"/>
    </row>
    <row r="1519" spans="1:3" hidden="1">
      <c r="A1519" s="402"/>
      <c r="B1519" s="402"/>
      <c r="C1519" s="402"/>
    </row>
    <row r="1520" spans="1:3" hidden="1">
      <c r="A1520" s="402"/>
      <c r="B1520" s="402"/>
      <c r="C1520" s="402"/>
    </row>
    <row r="1521" spans="1:3" hidden="1">
      <c r="A1521" s="402"/>
      <c r="B1521" s="402"/>
      <c r="C1521" s="402"/>
    </row>
    <row r="1522" spans="1:3" hidden="1">
      <c r="A1522" s="402"/>
      <c r="B1522" s="402"/>
      <c r="C1522" s="402"/>
    </row>
    <row r="1523" spans="1:3" hidden="1">
      <c r="A1523" s="402"/>
      <c r="B1523" s="402"/>
      <c r="C1523" s="402"/>
    </row>
    <row r="1524" spans="1:3" hidden="1">
      <c r="A1524" s="402"/>
      <c r="B1524" s="402"/>
      <c r="C1524" s="402"/>
    </row>
    <row r="1525" spans="1:3" hidden="1">
      <c r="A1525" s="402"/>
      <c r="B1525" s="402"/>
      <c r="C1525" s="402"/>
    </row>
    <row r="1526" spans="1:3" hidden="1">
      <c r="A1526" s="402"/>
      <c r="B1526" s="402"/>
      <c r="C1526" s="402"/>
    </row>
    <row r="1527" spans="1:3" hidden="1">
      <c r="A1527" s="402"/>
      <c r="B1527" s="402"/>
      <c r="C1527" s="402"/>
    </row>
    <row r="1528" spans="1:3" hidden="1">
      <c r="A1528" s="402"/>
      <c r="B1528" s="402"/>
      <c r="C1528" s="402"/>
    </row>
    <row r="1529" spans="1:3" hidden="1">
      <c r="A1529" s="402"/>
      <c r="B1529" s="402"/>
      <c r="C1529" s="402"/>
    </row>
    <row r="1530" spans="1:3" hidden="1">
      <c r="A1530" s="402"/>
      <c r="B1530" s="402"/>
      <c r="C1530" s="402"/>
    </row>
    <row r="1531" spans="1:3" hidden="1">
      <c r="A1531" s="402"/>
      <c r="B1531" s="402"/>
      <c r="C1531" s="402"/>
    </row>
    <row r="1532" spans="1:3" hidden="1">
      <c r="A1532" s="402"/>
      <c r="B1532" s="402"/>
      <c r="C1532" s="402"/>
    </row>
    <row r="1533" spans="1:3" hidden="1">
      <c r="A1533" s="402"/>
      <c r="B1533" s="402"/>
      <c r="C1533" s="402"/>
    </row>
    <row r="1534" spans="1:3" hidden="1">
      <c r="A1534" s="402"/>
      <c r="B1534" s="402"/>
      <c r="C1534" s="402"/>
    </row>
    <row r="1535" spans="1:3" hidden="1">
      <c r="A1535" s="402"/>
      <c r="B1535" s="402"/>
      <c r="C1535" s="402"/>
    </row>
    <row r="1536" spans="1:3" hidden="1">
      <c r="A1536" s="402"/>
      <c r="B1536" s="402"/>
      <c r="C1536" s="402"/>
    </row>
    <row r="1537" spans="1:3" hidden="1">
      <c r="A1537" s="402"/>
      <c r="B1537" s="402"/>
      <c r="C1537" s="402"/>
    </row>
    <row r="1538" spans="1:3" hidden="1">
      <c r="A1538" s="402"/>
      <c r="B1538" s="402"/>
      <c r="C1538" s="402"/>
    </row>
    <row r="1539" spans="1:3" hidden="1">
      <c r="A1539" s="402"/>
      <c r="B1539" s="402"/>
      <c r="C1539" s="402"/>
    </row>
    <row r="1540" spans="1:3" hidden="1">
      <c r="A1540" s="402"/>
      <c r="B1540" s="402"/>
      <c r="C1540" s="402"/>
    </row>
    <row r="1541" spans="1:3" hidden="1">
      <c r="A1541" s="402"/>
      <c r="B1541" s="402"/>
      <c r="C1541" s="402"/>
    </row>
    <row r="1542" spans="1:3" hidden="1">
      <c r="A1542" s="402"/>
      <c r="B1542" s="402"/>
      <c r="C1542" s="402"/>
    </row>
    <row r="1543" spans="1:3" hidden="1">
      <c r="A1543" s="402"/>
      <c r="B1543" s="402"/>
      <c r="C1543" s="402"/>
    </row>
    <row r="1544" spans="1:3" hidden="1">
      <c r="A1544" s="402"/>
      <c r="B1544" s="402"/>
      <c r="C1544" s="402"/>
    </row>
    <row r="1545" spans="1:3" hidden="1">
      <c r="A1545" s="402"/>
      <c r="B1545" s="402"/>
      <c r="C1545" s="402"/>
    </row>
    <row r="1546" spans="1:3" hidden="1">
      <c r="A1546" s="402"/>
      <c r="B1546" s="402"/>
      <c r="C1546" s="402"/>
    </row>
    <row r="1547" spans="1:3" hidden="1">
      <c r="A1547" s="402"/>
      <c r="B1547" s="402"/>
      <c r="C1547" s="402"/>
    </row>
    <row r="1548" spans="1:3" hidden="1">
      <c r="A1548" s="402"/>
      <c r="B1548" s="402"/>
      <c r="C1548" s="402"/>
    </row>
    <row r="1549" spans="1:3" hidden="1">
      <c r="A1549" s="402"/>
      <c r="B1549" s="402"/>
      <c r="C1549" s="402"/>
    </row>
    <row r="1553" spans="7:9" hidden="1">
      <c r="G1553" s="1827"/>
      <c r="H1553" s="1827"/>
      <c r="I1553" s="1827"/>
    </row>
  </sheetData>
  <sheetProtection algorithmName="SHA-512" hashValue="Ww32tdGca5c0RC8tWipYA12kLcv2BMeSdvtHpK0/m2dgR2d1hqQFWOx/1yutMHu3wGkTSUgDycnCPDLQoR1tjQ==" saltValue="SH84useKQv3eVswAYtO3qQ==" spinCount="100000" sheet="1" objects="1" scenarios="1"/>
  <mergeCells count="306">
    <mergeCell ref="D1134:F1139"/>
    <mergeCell ref="D621:F621"/>
    <mergeCell ref="D632:F632"/>
    <mergeCell ref="D1046:F1046"/>
    <mergeCell ref="D1047:F1047"/>
    <mergeCell ref="D1045:F1045"/>
    <mergeCell ref="D906:F906"/>
    <mergeCell ref="D1041:F1041"/>
    <mergeCell ref="A1043:G1043"/>
    <mergeCell ref="D1049:F1049"/>
    <mergeCell ref="D969:F972"/>
    <mergeCell ref="D915:F916"/>
    <mergeCell ref="D964:F966"/>
    <mergeCell ref="D888:F893"/>
    <mergeCell ref="D895:F895"/>
    <mergeCell ref="D896:F896"/>
    <mergeCell ref="D974:F974"/>
    <mergeCell ref="D975:F975"/>
    <mergeCell ref="D977:F977"/>
    <mergeCell ref="D978:F992"/>
    <mergeCell ref="A994:G994"/>
    <mergeCell ref="D996:F996"/>
    <mergeCell ref="D997:F997"/>
    <mergeCell ref="D1002:F1005"/>
    <mergeCell ref="D999:F1000"/>
    <mergeCell ref="D1050:F1050"/>
    <mergeCell ref="A1034:G1034"/>
    <mergeCell ref="D1036:F1036"/>
    <mergeCell ref="D1037:F1037"/>
    <mergeCell ref="D1039:F1039"/>
    <mergeCell ref="D1040:F1040"/>
    <mergeCell ref="D1042:F1042"/>
    <mergeCell ref="D1031:F1032"/>
    <mergeCell ref="D1007:F1010"/>
    <mergeCell ref="D1012:F1013"/>
    <mergeCell ref="D1015:F1015"/>
    <mergeCell ref="D1017:F1017"/>
    <mergeCell ref="D1019:F1019"/>
    <mergeCell ref="D1021:F1022"/>
    <mergeCell ref="D1024:F1025"/>
    <mergeCell ref="D1027:F1027"/>
    <mergeCell ref="D1029:F1029"/>
    <mergeCell ref="D1111:F1113"/>
    <mergeCell ref="D1115:F1119"/>
    <mergeCell ref="D1121:F1123"/>
    <mergeCell ref="D1125:F1127"/>
    <mergeCell ref="D1051:F1051"/>
    <mergeCell ref="D1059:F1062"/>
    <mergeCell ref="D1069:F1073"/>
    <mergeCell ref="A1075:G1075"/>
    <mergeCell ref="D1086:F1089"/>
    <mergeCell ref="A1054:G1054"/>
    <mergeCell ref="D1093:F1097"/>
    <mergeCell ref="A1104:G1104"/>
    <mergeCell ref="D1107:F1108"/>
    <mergeCell ref="D1109:F1109"/>
    <mergeCell ref="D1100:F1102"/>
    <mergeCell ref="D1081:F1082"/>
    <mergeCell ref="D957:F962"/>
    <mergeCell ref="D913:F914"/>
    <mergeCell ref="D927:F928"/>
    <mergeCell ref="D930:F933"/>
    <mergeCell ref="D935:F935"/>
    <mergeCell ref="D937:F937"/>
    <mergeCell ref="A904:G904"/>
    <mergeCell ref="D910:F910"/>
    <mergeCell ref="D911:F911"/>
    <mergeCell ref="D918:F925"/>
    <mergeCell ref="D939:F947"/>
    <mergeCell ref="D949:F955"/>
    <mergeCell ref="D626:F627"/>
    <mergeCell ref="D734:F736"/>
    <mergeCell ref="A634:G634"/>
    <mergeCell ref="A653:G653"/>
    <mergeCell ref="D699:F699"/>
    <mergeCell ref="D700:F700"/>
    <mergeCell ref="A684:G684"/>
    <mergeCell ref="D655:F655"/>
    <mergeCell ref="D899:F902"/>
    <mergeCell ref="D820:F825"/>
    <mergeCell ref="D691:F691"/>
    <mergeCell ref="A758:G758"/>
    <mergeCell ref="D738:F741"/>
    <mergeCell ref="D756:F756"/>
    <mergeCell ref="D714:F715"/>
    <mergeCell ref="D761:F761"/>
    <mergeCell ref="D763:F768"/>
    <mergeCell ref="D770:F773"/>
    <mergeCell ref="D791:F793"/>
    <mergeCell ref="D795:F797"/>
    <mergeCell ref="D799:F801"/>
    <mergeCell ref="D803:F808"/>
    <mergeCell ref="D859:F864"/>
    <mergeCell ref="D866:F866"/>
    <mergeCell ref="D867:F867"/>
    <mergeCell ref="D870:F873"/>
    <mergeCell ref="D877:F877"/>
    <mergeCell ref="D878:F878"/>
    <mergeCell ref="D880:F880"/>
    <mergeCell ref="D836:F836"/>
    <mergeCell ref="D837:F837"/>
    <mergeCell ref="D839:F839"/>
    <mergeCell ref="D842:F851"/>
    <mergeCell ref="D853:F855"/>
    <mergeCell ref="D743:F747"/>
    <mergeCell ref="D669:F672"/>
    <mergeCell ref="D703:F703"/>
    <mergeCell ref="D704:F704"/>
    <mergeCell ref="D663:F667"/>
    <mergeCell ref="D658:F661"/>
    <mergeCell ref="D267:F268"/>
    <mergeCell ref="D501:F502"/>
    <mergeCell ref="D471:F472"/>
    <mergeCell ref="D511:F512"/>
    <mergeCell ref="D360:F360"/>
    <mergeCell ref="D362:F373"/>
    <mergeCell ref="D514:F514"/>
    <mergeCell ref="D474:F487"/>
    <mergeCell ref="A540:G540"/>
    <mergeCell ref="D344:F347"/>
    <mergeCell ref="D392:F400"/>
    <mergeCell ref="D401:F418"/>
    <mergeCell ref="D334:F342"/>
    <mergeCell ref="D420:F421"/>
    <mergeCell ref="D351:F351"/>
    <mergeCell ref="D536:F538"/>
    <mergeCell ref="D429:F432"/>
    <mergeCell ref="D617:F618"/>
    <mergeCell ref="D266:F266"/>
    <mergeCell ref="D278:F280"/>
    <mergeCell ref="D302:F302"/>
    <mergeCell ref="D313:F314"/>
    <mergeCell ref="D316:F316"/>
    <mergeCell ref="D883:F884"/>
    <mergeCell ref="D886:F887"/>
    <mergeCell ref="D600:F601"/>
    <mergeCell ref="D603:F604"/>
    <mergeCell ref="A606:G606"/>
    <mergeCell ref="D611:F612"/>
    <mergeCell ref="D638:F639"/>
    <mergeCell ref="D641:F643"/>
    <mergeCell ref="D857:F858"/>
    <mergeCell ref="D788:F788"/>
    <mergeCell ref="D779:F780"/>
    <mergeCell ref="D782:F784"/>
    <mergeCell ref="A786:G786"/>
    <mergeCell ref="D775:F777"/>
    <mergeCell ref="D760:F760"/>
    <mergeCell ref="D813:F818"/>
    <mergeCell ref="D809:F811"/>
    <mergeCell ref="D307:F311"/>
    <mergeCell ref="D352:F352"/>
    <mergeCell ref="D47:F50"/>
    <mergeCell ref="A75:G75"/>
    <mergeCell ref="G1553:I1553"/>
    <mergeCell ref="D749:F755"/>
    <mergeCell ref="D730:F732"/>
    <mergeCell ref="D629:F630"/>
    <mergeCell ref="D636:F636"/>
    <mergeCell ref="D645:F646"/>
    <mergeCell ref="D648:F650"/>
    <mergeCell ref="D651:F651"/>
    <mergeCell ref="D687:F687"/>
    <mergeCell ref="D707:F712"/>
    <mergeCell ref="D717:F729"/>
    <mergeCell ref="D686:F686"/>
    <mergeCell ref="D688:F688"/>
    <mergeCell ref="D690:F690"/>
    <mergeCell ref="A834:G834"/>
    <mergeCell ref="D225:F225"/>
    <mergeCell ref="D579:F582"/>
    <mergeCell ref="D789:F789"/>
    <mergeCell ref="A584:G584"/>
    <mergeCell ref="D575:F577"/>
    <mergeCell ref="D695:F697"/>
    <mergeCell ref="D182:F184"/>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227:F227"/>
    <mergeCell ref="D287:F287"/>
    <mergeCell ref="D288:F288"/>
    <mergeCell ref="D290:F291"/>
    <mergeCell ref="D293:F295"/>
    <mergeCell ref="D228:F231"/>
    <mergeCell ref="D546:F546"/>
    <mergeCell ref="D547:F547"/>
    <mergeCell ref="D557:F558"/>
    <mergeCell ref="D549:F549"/>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674:F682"/>
    <mergeCell ref="D433:F433"/>
    <mergeCell ref="D574:F574"/>
    <mergeCell ref="D554:F555"/>
    <mergeCell ref="D551:F552"/>
    <mergeCell ref="D318:F332"/>
    <mergeCell ref="A615:G615"/>
    <mergeCell ref="B542:F542"/>
    <mergeCell ref="A544:G544"/>
    <mergeCell ref="D591:F594"/>
    <mergeCell ref="D595:F598"/>
    <mergeCell ref="D586:F586"/>
    <mergeCell ref="D587:F587"/>
    <mergeCell ref="D589:F589"/>
    <mergeCell ref="D560:F562"/>
    <mergeCell ref="D564:F565"/>
    <mergeCell ref="D570:F570"/>
    <mergeCell ref="D571:F571"/>
    <mergeCell ref="D567:F568"/>
    <mergeCell ref="D608:F608"/>
    <mergeCell ref="D609:F609"/>
    <mergeCell ref="D656:F656"/>
    <mergeCell ref="D619:F619"/>
    <mergeCell ref="D623:F624"/>
    <mergeCell ref="D1141:F1145"/>
    <mergeCell ref="D1129:F1132"/>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7:F832"/>
    <mergeCell ref="D516:F518"/>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9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1081 B549 B551 B554 B557 B560 B564 B567 B570 B574 B579 B589 B591 B595 B600 B603 B611 B623 B626 B629 B638 B645 B648 B651 B658 B663 B669 B674 B690 B695 B699 B707 B714 B717 B1100 B734 B738 B743 B749 B763 B770 B775 B779 B782 B245 B20 B100 B96 B92 B205 B201 B197 B213 B233 B791 B795 B799 B803 B813 B820 B827 B839 B842 B853 B857 B866 B870 B880 B883 B886 B895 B899 B918 B939 B949 B969 B913 B927 B930 B935 B937 B964 B975 B978 B999 B1007 B1012 B1015 B1017 B1019 B1021 B1024 B1027 B1029 B1031 B908 B1046 B1051 B1040 B1059 B1067 B1069 B1078 B1134 B1085 B1093 B1121 B1141 B1125 B1115 B1107 B380 B957 B514 B516 B730 B703 B621 B632 B1111 B536"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xr:uid="{00000000-0004-0000-0300-000003000000}"/>
    <hyperlink ref="D1109"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9" max="8" man="1"/>
    <brk id="543" max="8" man="1"/>
    <brk id="583" max="8" man="1"/>
    <brk id="605" max="8" man="1"/>
    <brk id="614" max="8" man="1"/>
    <brk id="633" max="8" man="1"/>
    <brk id="652" max="8" man="1"/>
    <brk id="683" max="8" man="1"/>
    <brk id="785" max="8" man="1"/>
    <brk id="833" max="8" man="1"/>
    <brk id="874" max="8" man="1"/>
    <brk id="903" max="8" man="1"/>
    <brk id="967" max="8" man="1"/>
    <brk id="993" max="8" man="1"/>
    <brk id="1033" max="8" man="1"/>
    <brk id="1042" max="8" man="1"/>
    <brk id="1053" max="8" man="1"/>
    <brk id="1074" max="8" man="1"/>
    <brk id="1103"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26"/>
  <sheetViews>
    <sheetView showGridLines="0" tabSelected="1" topLeftCell="A177" workbookViewId="0">
      <selection activeCell="AE475" sqref="AE475"/>
    </sheetView>
  </sheetViews>
  <sheetFormatPr defaultColWidth="0" defaultRowHeight="0" customHeight="1" zeroHeight="1"/>
  <cols>
    <col min="1" max="45" width="2.7109375" customWidth="1"/>
    <col min="46" max="46" width="12.42578125" customWidth="1"/>
    <col min="47" max="16384" width="12.42578125" hidden="1"/>
  </cols>
  <sheetData>
    <row r="1" spans="1:58" ht="12.95" customHeight="1">
      <c r="J1" s="100"/>
      <c r="AS1" s="1026">
        <v>4</v>
      </c>
      <c r="BD1" s="3" t="s">
        <v>2426</v>
      </c>
      <c r="BE1" s="3"/>
      <c r="BF1" s="3"/>
    </row>
    <row r="2" spans="1:58" ht="12.95" customHeight="1">
      <c r="BD2" s="3" t="s">
        <v>2427</v>
      </c>
      <c r="BE2" s="3" t="s">
        <v>2428</v>
      </c>
      <c r="BF2" s="3" t="s">
        <v>2429</v>
      </c>
    </row>
    <row r="3" spans="1:58" ht="12.95" customHeight="1">
      <c r="BD3" s="3" t="s">
        <v>2521</v>
      </c>
      <c r="BE3" t="str">
        <f>AC220</f>
        <v>(select one)</v>
      </c>
    </row>
    <row r="4" spans="1:58" ht="12.95" customHeight="1">
      <c r="BD4" s="3" t="s">
        <v>2436</v>
      </c>
      <c r="BE4" s="1180"/>
    </row>
    <row r="5" spans="1:58" ht="12.95" customHeight="1">
      <c r="BD5" s="3" t="s">
        <v>2437</v>
      </c>
      <c r="BE5">
        <f>SUMIF($AC$726:$AC$760,"&lt;=20%",$G$726:G$760)</f>
        <v>0</v>
      </c>
      <c r="BF5" s="3" t="s">
        <v>2442</v>
      </c>
    </row>
    <row r="6" spans="1:58" ht="12.95" customHeight="1">
      <c r="BD6" s="3" t="s">
        <v>2438</v>
      </c>
      <c r="BE6" s="1183">
        <f>SUMIF($AC$726:$AC$760,"&lt;=25%",$G$726:G$760)-SUM($BE$5:BE5)</f>
        <v>0</v>
      </c>
    </row>
    <row r="7" spans="1:58" ht="12.95" customHeight="1">
      <c r="BD7" s="1181" t="s">
        <v>2430</v>
      </c>
      <c r="BE7" s="1183">
        <f>SUMIF($AC$726:$AC$760,"&lt;=30%",$G$726:G$760)-SUM($BE$5:BE6)</f>
        <v>7</v>
      </c>
    </row>
    <row r="8" spans="1:58" ht="26.25" customHeight="1">
      <c r="A8" s="1755" t="s">
        <v>100</v>
      </c>
      <c r="B8" s="1755"/>
      <c r="C8" s="1755"/>
      <c r="D8" s="1755"/>
      <c r="E8" s="1755"/>
      <c r="F8" s="1755"/>
      <c r="G8" s="1755"/>
      <c r="H8" s="1755"/>
      <c r="I8" s="1755"/>
      <c r="J8" s="1755"/>
      <c r="K8" s="1755"/>
      <c r="L8" s="1755"/>
      <c r="M8" s="1755"/>
      <c r="N8" s="1755"/>
      <c r="O8" s="1755"/>
      <c r="P8" s="1755"/>
      <c r="Q8" s="1755"/>
      <c r="R8" s="1755"/>
      <c r="S8" s="1755"/>
      <c r="T8" s="1755"/>
      <c r="U8" s="1755"/>
      <c r="V8" s="1755"/>
      <c r="W8" s="1755"/>
      <c r="X8" s="1755"/>
      <c r="Y8" s="1755"/>
      <c r="Z8" s="1755"/>
      <c r="AA8" s="1755"/>
      <c r="AB8" s="1755"/>
      <c r="AC8" s="1755"/>
      <c r="AD8" s="1755"/>
      <c r="AE8" s="1755"/>
      <c r="AF8" s="1755"/>
      <c r="AG8" s="1755"/>
      <c r="AH8" s="1755"/>
      <c r="AI8" s="1755"/>
      <c r="AJ8" s="1755"/>
      <c r="AK8" s="1755"/>
      <c r="AL8" s="1755"/>
      <c r="AM8" s="1755"/>
      <c r="AN8" s="1755"/>
      <c r="AO8" s="1755"/>
      <c r="AP8" s="1755"/>
      <c r="AQ8" s="1755"/>
      <c r="AR8" s="1755"/>
      <c r="AS8" s="1755"/>
      <c r="AT8" s="1755"/>
      <c r="AU8" s="894"/>
      <c r="AV8" s="894"/>
      <c r="AW8" s="894"/>
      <c r="AX8" s="894"/>
      <c r="AY8" s="894"/>
      <c r="BD8" s="3" t="s">
        <v>2439</v>
      </c>
      <c r="BE8" s="1183">
        <f>SUMIF($AC$726:$AC$760,"&lt;=35%",$G$726:G$760)-SUM($BE$5:BE7)</f>
        <v>0</v>
      </c>
    </row>
    <row r="9" spans="1:58" ht="12.95" customHeight="1">
      <c r="A9" s="1756" t="s">
        <v>2032</v>
      </c>
      <c r="B9" s="1756"/>
      <c r="C9" s="1756"/>
      <c r="D9" s="1756"/>
      <c r="E9" s="1756"/>
      <c r="F9" s="1756"/>
      <c r="G9" s="1756"/>
      <c r="H9" s="1756"/>
      <c r="I9" s="1756"/>
      <c r="J9" s="1756"/>
      <c r="K9" s="1756"/>
      <c r="L9" s="1756"/>
      <c r="M9" s="1756"/>
      <c r="N9" s="1756"/>
      <c r="O9" s="1756"/>
      <c r="P9" s="1756"/>
      <c r="Q9" s="1756"/>
      <c r="R9" s="1756"/>
      <c r="S9" s="1756"/>
      <c r="T9" s="1756"/>
      <c r="U9" s="1756"/>
      <c r="V9" s="1756"/>
      <c r="W9" s="1756"/>
      <c r="X9" s="1756"/>
      <c r="Y9" s="1756"/>
      <c r="Z9" s="1756"/>
      <c r="AA9" s="1756"/>
      <c r="AB9" s="1756"/>
      <c r="AC9" s="1756"/>
      <c r="AD9" s="1756"/>
      <c r="AE9" s="1756"/>
      <c r="AF9" s="1756"/>
      <c r="AG9" s="1756"/>
      <c r="AH9" s="1756"/>
      <c r="AI9" s="1756"/>
      <c r="AJ9" s="1756"/>
      <c r="AK9" s="1756"/>
      <c r="AL9" s="1756"/>
      <c r="AM9" s="1756"/>
      <c r="AN9" s="1756"/>
      <c r="AO9" s="1756"/>
      <c r="AP9" s="1756"/>
      <c r="AQ9" s="1756"/>
      <c r="AR9" s="1756"/>
      <c r="AS9" s="1756"/>
      <c r="AT9" s="1756"/>
      <c r="AU9" s="13"/>
      <c r="AV9" s="13"/>
      <c r="AW9" s="13"/>
      <c r="AX9" s="13"/>
      <c r="AY9" s="13"/>
      <c r="BD9" s="1182" t="s">
        <v>2431</v>
      </c>
      <c r="BE9" s="1183">
        <f>SUMIF($AC$726:$AC$760,"&lt;=40%",$G$726:G$760)-SUM($BE$5:BE8)</f>
        <v>4</v>
      </c>
    </row>
    <row r="10" spans="1:58" ht="12.95" customHeight="1">
      <c r="A10" s="1756" t="s">
        <v>2601</v>
      </c>
      <c r="B10" s="1756"/>
      <c r="C10" s="1756"/>
      <c r="D10" s="1756"/>
      <c r="E10" s="1756"/>
      <c r="F10" s="1756"/>
      <c r="G10" s="1756"/>
      <c r="H10" s="1756"/>
      <c r="I10" s="1756"/>
      <c r="J10" s="1756"/>
      <c r="K10" s="1756"/>
      <c r="L10" s="1756"/>
      <c r="M10" s="1756"/>
      <c r="N10" s="1756"/>
      <c r="O10" s="1756"/>
      <c r="P10" s="1756"/>
      <c r="Q10" s="1756"/>
      <c r="R10" s="1756"/>
      <c r="S10" s="1756"/>
      <c r="T10" s="1756"/>
      <c r="U10" s="1756"/>
      <c r="V10" s="1756"/>
      <c r="W10" s="1756"/>
      <c r="X10" s="1756"/>
      <c r="Y10" s="1756"/>
      <c r="Z10" s="1756"/>
      <c r="AA10" s="1756"/>
      <c r="AB10" s="1756"/>
      <c r="AC10" s="1756"/>
      <c r="AD10" s="1756"/>
      <c r="AE10" s="1756"/>
      <c r="AF10" s="1756"/>
      <c r="AG10" s="1756"/>
      <c r="AH10" s="1756"/>
      <c r="AI10" s="1756"/>
      <c r="AJ10" s="1756"/>
      <c r="AK10" s="1756"/>
      <c r="AL10" s="1756"/>
      <c r="AM10" s="1756"/>
      <c r="AN10" s="1756"/>
      <c r="AO10" s="1756"/>
      <c r="AP10" s="1756"/>
      <c r="AQ10" s="1756"/>
      <c r="AR10" s="1756"/>
      <c r="AS10" s="1756"/>
      <c r="AT10" s="1756"/>
      <c r="AU10" s="13"/>
      <c r="AV10" s="13"/>
      <c r="AW10" s="13"/>
      <c r="AX10" s="13"/>
      <c r="AY10" s="13"/>
      <c r="BD10" s="3" t="s">
        <v>2440</v>
      </c>
      <c r="BE10" s="1183">
        <f>SUMIF($AC$726:$AC$760,"&lt;=45%",$G$726:G$760)-SUM($BE$5:BE9)</f>
        <v>0</v>
      </c>
    </row>
    <row r="11" spans="1:58" ht="12.95" customHeight="1">
      <c r="A11" s="1756" t="s">
        <v>2529</v>
      </c>
      <c r="B11" s="1756"/>
      <c r="C11" s="1756"/>
      <c r="D11" s="1756"/>
      <c r="E11" s="1756"/>
      <c r="F11" s="1756"/>
      <c r="G11" s="1756"/>
      <c r="H11" s="1756"/>
      <c r="I11" s="1756"/>
      <c r="J11" s="1756"/>
      <c r="K11" s="1756"/>
      <c r="L11" s="1756"/>
      <c r="M11" s="1756"/>
      <c r="N11" s="1756"/>
      <c r="O11" s="1756"/>
      <c r="P11" s="1756"/>
      <c r="Q11" s="1756"/>
      <c r="R11" s="1756"/>
      <c r="S11" s="1756"/>
      <c r="T11" s="1756"/>
      <c r="U11" s="1756"/>
      <c r="V11" s="1756"/>
      <c r="W11" s="1756"/>
      <c r="X11" s="1756"/>
      <c r="Y11" s="1756"/>
      <c r="Z11" s="1756"/>
      <c r="AA11" s="1756"/>
      <c r="AB11" s="1756"/>
      <c r="AC11" s="1756"/>
      <c r="AD11" s="1756"/>
      <c r="AE11" s="1756"/>
      <c r="AF11" s="1756"/>
      <c r="AG11" s="1756"/>
      <c r="AH11" s="1756"/>
      <c r="AI11" s="1756"/>
      <c r="AJ11" s="1756"/>
      <c r="AK11" s="1756"/>
      <c r="AL11" s="1756"/>
      <c r="AM11" s="1756"/>
      <c r="AN11" s="1756"/>
      <c r="AO11" s="1756"/>
      <c r="AP11" s="1756"/>
      <c r="AQ11" s="1756"/>
      <c r="AR11" s="1756"/>
      <c r="AS11" s="1756"/>
      <c r="AT11" s="1756"/>
      <c r="AU11" s="13"/>
      <c r="AV11" s="13"/>
      <c r="AW11" s="13"/>
      <c r="AX11" s="13"/>
      <c r="AY11" s="13"/>
      <c r="BD11" s="1181" t="s">
        <v>2432</v>
      </c>
      <c r="BE11" s="1183">
        <f>SUMIF($AC$726:$AC$760,"&lt;=50%",$G$726:G$760)-SUM($BE$5:BE10)</f>
        <v>6</v>
      </c>
    </row>
    <row r="12" spans="1:58" ht="12.95" customHeight="1">
      <c r="A12" s="1757" t="s">
        <v>2636</v>
      </c>
      <c r="B12" s="1757"/>
      <c r="C12" s="1757"/>
      <c r="D12" s="1757"/>
      <c r="E12" s="1757"/>
      <c r="F12" s="1757"/>
      <c r="G12" s="1757"/>
      <c r="H12" s="1757"/>
      <c r="I12" s="1757"/>
      <c r="J12" s="1757"/>
      <c r="K12" s="1757"/>
      <c r="L12" s="1757"/>
      <c r="M12" s="1757"/>
      <c r="N12" s="1757"/>
      <c r="O12" s="1757"/>
      <c r="P12" s="1757"/>
      <c r="Q12" s="1757"/>
      <c r="R12" s="1757"/>
      <c r="S12" s="1757"/>
      <c r="T12" s="1757"/>
      <c r="U12" s="1757"/>
      <c r="V12" s="1757"/>
      <c r="W12" s="1757"/>
      <c r="X12" s="1757"/>
      <c r="Y12" s="1757"/>
      <c r="Z12" s="1757"/>
      <c r="AA12" s="1757"/>
      <c r="AB12" s="1757"/>
      <c r="AC12" s="1757"/>
      <c r="AD12" s="1757"/>
      <c r="AE12" s="1757"/>
      <c r="AF12" s="1757"/>
      <c r="AG12" s="1757"/>
      <c r="AH12" s="1757"/>
      <c r="AI12" s="1757"/>
      <c r="AJ12" s="1757"/>
      <c r="AK12" s="1757"/>
      <c r="AL12" s="1757"/>
      <c r="AM12" s="1757"/>
      <c r="AN12" s="1757"/>
      <c r="AO12" s="1757"/>
      <c r="AP12" s="1757"/>
      <c r="AQ12" s="1757"/>
      <c r="AR12" s="1757"/>
      <c r="AS12" s="1757"/>
      <c r="AT12" s="1757"/>
      <c r="AU12" s="6"/>
      <c r="AV12" s="6"/>
      <c r="AW12" s="6"/>
      <c r="AX12" s="6"/>
      <c r="AY12" s="6"/>
      <c r="BD12" s="3" t="s">
        <v>2441</v>
      </c>
      <c r="BE12" s="1183">
        <f>SUMIF($AC$726:$AC$760,"&lt;=55%",$G$726:G$760)-SUM($BE$5:BE11)</f>
        <v>0</v>
      </c>
    </row>
    <row r="13" spans="1:58" ht="12.95" customHeight="1">
      <c r="A13" s="1609" t="s">
        <v>2033</v>
      </c>
      <c r="B13" s="1609"/>
      <c r="C13" s="1609"/>
      <c r="D13" s="1609"/>
      <c r="E13" s="1609"/>
      <c r="F13" s="1609"/>
      <c r="G13" s="1609"/>
      <c r="H13" s="1609"/>
      <c r="I13" s="1609"/>
      <c r="J13" s="1609"/>
      <c r="K13" s="1609"/>
      <c r="L13" s="1609"/>
      <c r="M13" s="1609"/>
      <c r="N13" s="1609"/>
      <c r="O13" s="1609"/>
      <c r="P13" s="1609"/>
      <c r="Q13" s="1609"/>
      <c r="R13" s="1609"/>
      <c r="S13" s="1609"/>
      <c r="T13" s="1609"/>
      <c r="U13" s="1609"/>
      <c r="V13" s="1609"/>
      <c r="W13" s="1609"/>
      <c r="X13" s="1609"/>
      <c r="Y13" s="1609"/>
      <c r="Z13" s="1609"/>
      <c r="AA13" s="1609"/>
      <c r="AB13" s="1609"/>
      <c r="AC13" s="1609"/>
      <c r="AD13" s="1609"/>
      <c r="AE13" s="1609"/>
      <c r="AF13" s="1609"/>
      <c r="AG13" s="1609"/>
      <c r="AH13" s="1609"/>
      <c r="AI13" s="1609"/>
      <c r="AJ13" s="1609"/>
      <c r="AK13" s="1609"/>
      <c r="AL13" s="1609"/>
      <c r="AM13" s="1609"/>
      <c r="AN13" s="1609"/>
      <c r="AO13" s="1609"/>
      <c r="AP13" s="1609"/>
      <c r="AQ13" s="1609"/>
      <c r="AR13" s="1609"/>
      <c r="AS13" s="1609"/>
      <c r="AT13" s="1609"/>
      <c r="AU13" s="895"/>
      <c r="AV13" s="895"/>
      <c r="AW13" s="895"/>
      <c r="AX13" s="895"/>
      <c r="AY13" s="895"/>
      <c r="BD13" s="1182" t="s">
        <v>2433</v>
      </c>
      <c r="BE13" s="1183">
        <f>SUMIF($AC$726:$AC$760,"&lt;=60%",$G$726:G$760)-SUM($BE$5:BE12)</f>
        <v>15</v>
      </c>
    </row>
    <row r="14" spans="1:58" ht="12.95" customHeight="1">
      <c r="A14" s="1609"/>
      <c r="B14" s="1609"/>
      <c r="C14" s="1609"/>
      <c r="D14" s="1609"/>
      <c r="E14" s="1609"/>
      <c r="F14" s="1609"/>
      <c r="G14" s="1609"/>
      <c r="H14" s="1609"/>
      <c r="I14" s="1609"/>
      <c r="J14" s="1609"/>
      <c r="K14" s="1609"/>
      <c r="L14" s="1609"/>
      <c r="M14" s="1609"/>
      <c r="N14" s="1609"/>
      <c r="O14" s="1609"/>
      <c r="P14" s="1609"/>
      <c r="Q14" s="1609"/>
      <c r="R14" s="1609"/>
      <c r="S14" s="1609"/>
      <c r="T14" s="1609"/>
      <c r="U14" s="1609"/>
      <c r="V14" s="1609"/>
      <c r="W14" s="1609"/>
      <c r="X14" s="1609"/>
      <c r="Y14" s="1609"/>
      <c r="Z14" s="1609"/>
      <c r="AA14" s="1609"/>
      <c r="AB14" s="1609"/>
      <c r="AC14" s="1609"/>
      <c r="AD14" s="1609"/>
      <c r="AE14" s="1609"/>
      <c r="AF14" s="1609"/>
      <c r="AG14" s="1609"/>
      <c r="AH14" s="1609"/>
      <c r="AI14" s="1609"/>
      <c r="AJ14" s="1609"/>
      <c r="AK14" s="1609"/>
      <c r="AL14" s="1609"/>
      <c r="AM14" s="1609"/>
      <c r="AN14" s="1609"/>
      <c r="AO14" s="1609"/>
      <c r="AP14" s="1609"/>
      <c r="AQ14" s="1609"/>
      <c r="AR14" s="1609"/>
      <c r="AS14" s="1609"/>
      <c r="AT14" s="1609"/>
      <c r="AU14" s="895"/>
      <c r="AV14" s="895"/>
      <c r="AW14" s="895"/>
      <c r="AX14" s="895"/>
      <c r="AY14" s="895"/>
      <c r="BD14" s="1181" t="s">
        <v>2434</v>
      </c>
      <c r="BE14" s="1183">
        <f>SUMIF($AC$726:$AC$760,"&lt;=70%",$G$726:G$760)-SUM($BE$5:BE13)</f>
        <v>0</v>
      </c>
    </row>
    <row r="15" spans="1:58" ht="12.9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182" t="s">
        <v>2435</v>
      </c>
      <c r="BE15" s="1183">
        <f>SUMIF($AC$726:$AC$760,"&lt;=80%",$G$726:G$760)-SUM($BE$5:BE14)</f>
        <v>16</v>
      </c>
    </row>
    <row r="16" spans="1:58" ht="12.95" customHeight="1">
      <c r="A16" s="57" t="s">
        <v>2034</v>
      </c>
      <c r="C16" s="4"/>
      <c r="D16" s="4"/>
      <c r="E16" s="4"/>
      <c r="F16" s="4"/>
      <c r="G16" s="4"/>
      <c r="H16" s="1482" t="s">
        <v>2644</v>
      </c>
      <c r="I16" s="1466"/>
      <c r="J16" s="1466"/>
      <c r="K16" s="1466"/>
      <c r="L16" s="1466"/>
      <c r="M16" s="1466"/>
      <c r="N16" s="1466"/>
      <c r="O16" s="1466"/>
      <c r="P16" s="1466"/>
      <c r="Q16" s="1466"/>
      <c r="R16" s="1466"/>
      <c r="S16" s="1466"/>
      <c r="T16" s="1466"/>
      <c r="U16" s="1466"/>
      <c r="V16" s="1466"/>
      <c r="W16" s="1466"/>
      <c r="X16" s="1466"/>
      <c r="Y16" s="1466"/>
      <c r="Z16" s="1466"/>
      <c r="AA16" s="1466"/>
      <c r="AB16" s="1466"/>
      <c r="AC16" s="1466"/>
      <c r="AD16" s="1466"/>
      <c r="AE16" s="1466"/>
      <c r="AF16" s="1466"/>
      <c r="AG16" s="1466"/>
      <c r="AH16" s="1466"/>
      <c r="AI16" s="1466"/>
      <c r="AJ16" s="1466"/>
      <c r="BD16" s="1182" t="s">
        <v>656</v>
      </c>
      <c r="BE16" s="1183" t="str">
        <f>Application!H18</f>
        <v>Park Street Apartments</v>
      </c>
    </row>
    <row r="17" spans="1:58" ht="12.95" customHeight="1">
      <c r="BD17" s="1181" t="s">
        <v>2447</v>
      </c>
      <c r="BE17" s="1183">
        <f>Application!AA943</f>
        <v>0</v>
      </c>
    </row>
    <row r="18" spans="1:58" ht="12.95" customHeight="1">
      <c r="A18" s="57" t="s">
        <v>101</v>
      </c>
      <c r="C18" s="4"/>
      <c r="D18" s="4"/>
      <c r="E18" s="4"/>
      <c r="F18" s="4"/>
      <c r="G18" s="4"/>
      <c r="H18" s="1358" t="s">
        <v>2645</v>
      </c>
      <c r="I18" s="1440"/>
      <c r="J18" s="1440"/>
      <c r="K18" s="1440"/>
      <c r="L18" s="1440"/>
      <c r="M18" s="1440"/>
      <c r="N18" s="1440"/>
      <c r="O18" s="1440"/>
      <c r="P18" s="1440"/>
      <c r="Q18" s="1440"/>
      <c r="R18" s="1440"/>
      <c r="S18" s="1440"/>
      <c r="T18" s="1440"/>
      <c r="U18" s="1440"/>
      <c r="V18" s="1440"/>
      <c r="W18" s="1440"/>
      <c r="X18" s="1440"/>
      <c r="Y18" s="1440"/>
      <c r="Z18" s="1440"/>
      <c r="AA18" s="1440"/>
      <c r="AB18" s="1440"/>
      <c r="AC18" s="1440"/>
      <c r="AD18" s="1440"/>
      <c r="AE18" s="1440"/>
      <c r="AF18" s="1440"/>
      <c r="AG18" s="1440"/>
      <c r="AH18" s="1440"/>
      <c r="AI18" s="1440"/>
      <c r="AJ18" s="1440"/>
      <c r="BD18" s="1182" t="s">
        <v>2448</v>
      </c>
      <c r="BE18" s="1183">
        <f>AA943</f>
        <v>0</v>
      </c>
    </row>
    <row r="19" spans="1:58" ht="12.95" customHeight="1">
      <c r="BD19" s="1181" t="s">
        <v>2449</v>
      </c>
      <c r="BE19" s="1183">
        <f>Application!M26</f>
        <v>1608226</v>
      </c>
    </row>
    <row r="20" spans="1:58" ht="12.95" customHeight="1">
      <c r="A20" s="1758" t="s">
        <v>873</v>
      </c>
      <c r="B20" s="1758"/>
      <c r="C20" s="1758"/>
      <c r="D20" s="1758"/>
      <c r="E20" s="1758"/>
      <c r="F20" s="1758"/>
      <c r="G20" s="1758"/>
      <c r="H20" s="1758"/>
      <c r="I20" s="1758"/>
      <c r="J20" s="1758"/>
      <c r="K20" s="1758"/>
      <c r="L20" s="1758"/>
      <c r="M20" s="1758"/>
      <c r="N20" s="1758"/>
      <c r="O20" s="1758"/>
      <c r="P20" s="1758"/>
      <c r="Q20" s="1758"/>
      <c r="R20" s="1758"/>
      <c r="S20" s="1758"/>
      <c r="T20" s="1758"/>
      <c r="U20" s="1758"/>
      <c r="V20" s="1758"/>
      <c r="W20" s="1758"/>
      <c r="X20" s="1758"/>
      <c r="Y20" s="1758"/>
      <c r="Z20" s="1758"/>
      <c r="AA20" s="1758"/>
      <c r="AB20" s="1758"/>
      <c r="AC20" s="1758"/>
      <c r="AD20" s="1758"/>
      <c r="AE20" s="1758"/>
      <c r="AF20" s="1758"/>
      <c r="AG20" s="1758"/>
      <c r="AH20" s="1758"/>
      <c r="AI20" s="1758"/>
      <c r="AJ20" s="1758"/>
      <c r="AK20" s="1758"/>
      <c r="AL20" s="1758"/>
      <c r="AM20" s="1758"/>
      <c r="AN20" s="1758"/>
      <c r="AO20" s="1758"/>
      <c r="AP20" s="1758"/>
      <c r="AQ20" s="1758"/>
      <c r="AR20" s="1758"/>
      <c r="AS20" s="1758"/>
      <c r="AT20" s="1758"/>
      <c r="AU20" s="896"/>
      <c r="AV20" s="896"/>
      <c r="AW20" s="896"/>
      <c r="AX20" s="896"/>
      <c r="AY20" s="896"/>
      <c r="BD20" s="1182" t="s">
        <v>2450</v>
      </c>
      <c r="BE20" s="1183">
        <f>Application!M27</f>
        <v>9278223</v>
      </c>
    </row>
    <row r="21" spans="1:58" ht="12.95" customHeight="1">
      <c r="A21" s="1780" t="s">
        <v>1009</v>
      </c>
      <c r="B21" s="1780"/>
      <c r="C21" s="1780"/>
      <c r="D21" s="1780"/>
      <c r="E21" s="1780"/>
      <c r="F21" s="1780"/>
      <c r="G21" s="1780"/>
      <c r="H21" s="1780"/>
      <c r="I21" s="1780"/>
      <c r="J21" s="1780"/>
      <c r="K21" s="1780"/>
      <c r="L21" s="1780"/>
      <c r="M21" s="1780"/>
      <c r="N21" s="1780"/>
      <c r="O21" s="1780"/>
      <c r="P21" s="1780"/>
      <c r="Q21" s="1780"/>
      <c r="R21" s="1780"/>
      <c r="S21" s="1780"/>
      <c r="T21" s="1780"/>
      <c r="U21" s="1780"/>
      <c r="V21" s="1780"/>
      <c r="W21" s="1780"/>
      <c r="X21" s="1780"/>
      <c r="Y21" s="1780"/>
      <c r="Z21" s="1780"/>
      <c r="AA21" s="1780"/>
      <c r="AB21" s="1780"/>
      <c r="AC21" s="1780"/>
      <c r="AD21" s="1780"/>
      <c r="AE21" s="1780"/>
      <c r="AF21" s="1780"/>
      <c r="AG21" s="1780"/>
      <c r="AH21" s="1780"/>
      <c r="AI21" s="1780"/>
      <c r="AJ21" s="1780"/>
      <c r="AK21" s="1780"/>
      <c r="AL21" s="1780"/>
      <c r="AM21" s="897"/>
      <c r="AN21" s="897"/>
      <c r="AO21" s="897"/>
      <c r="AP21" s="897"/>
      <c r="AQ21" s="897"/>
      <c r="AR21" s="897"/>
      <c r="AS21" s="897"/>
      <c r="AT21" s="897"/>
      <c r="AU21" s="897"/>
      <c r="AV21" s="897"/>
      <c r="AW21" s="897"/>
      <c r="AX21" s="897"/>
      <c r="AY21" s="897"/>
      <c r="BD21" s="1181" t="s">
        <v>2451</v>
      </c>
      <c r="BE21" s="1183">
        <f>Application!AM562</f>
        <v>9740606</v>
      </c>
    </row>
    <row r="22" spans="1:58"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182" t="s">
        <v>283</v>
      </c>
      <c r="BE22" s="1183">
        <f>'Sources and Uses Budget'!B105</f>
        <v>34183137</v>
      </c>
      <c r="BF22" s="3" t="s">
        <v>2522</v>
      </c>
    </row>
    <row r="23" spans="1:58" ht="12.95" customHeight="1">
      <c r="A23" s="1759" t="s">
        <v>2100</v>
      </c>
      <c r="B23" s="1759"/>
      <c r="C23" s="1759"/>
      <c r="D23" s="1759"/>
      <c r="E23" s="1759"/>
      <c r="F23" s="1759"/>
      <c r="G23" s="1759"/>
      <c r="H23" s="1759"/>
      <c r="I23" s="1759"/>
      <c r="J23" s="1759"/>
      <c r="K23" s="1759"/>
      <c r="L23" s="1759"/>
      <c r="M23" s="1759"/>
      <c r="N23" s="1759"/>
      <c r="O23" s="1759"/>
      <c r="P23" s="1759"/>
      <c r="Q23" s="1759"/>
      <c r="R23" s="1759"/>
      <c r="S23" s="1759"/>
      <c r="T23" s="1759"/>
      <c r="U23" s="1759"/>
      <c r="V23" s="1759"/>
      <c r="W23" s="1759"/>
      <c r="X23" s="1759"/>
      <c r="Y23" s="1759"/>
      <c r="Z23" s="1759"/>
      <c r="AA23" s="1759"/>
      <c r="AB23" s="1759"/>
      <c r="AC23" s="1759"/>
      <c r="AD23" s="1759"/>
      <c r="AE23" s="1759"/>
      <c r="AF23" s="1759"/>
      <c r="AG23" s="1759"/>
      <c r="AH23" s="1759"/>
      <c r="AI23" s="1759"/>
      <c r="AJ23" s="1759"/>
      <c r="AK23" s="1759"/>
      <c r="AL23" s="1759"/>
      <c r="AM23" s="1759"/>
      <c r="AN23" s="1759"/>
      <c r="AO23" s="1759"/>
      <c r="AP23" s="1759"/>
      <c r="AQ23" s="1759"/>
      <c r="AR23" s="1759"/>
      <c r="AS23" s="1759"/>
      <c r="AT23" s="1759"/>
      <c r="AU23" s="18"/>
      <c r="AV23" s="18"/>
      <c r="AW23" s="18"/>
      <c r="AX23" s="18"/>
      <c r="AY23" s="18"/>
      <c r="AZ23" s="18"/>
      <c r="BD23" s="1181" t="s">
        <v>2452</v>
      </c>
      <c r="BE23" s="1183">
        <f>'Sources and Uses Budget'!B4</f>
        <v>2660867</v>
      </c>
    </row>
    <row r="24" spans="1:58" ht="12.95" customHeight="1">
      <c r="A24" s="1759"/>
      <c r="B24" s="1759"/>
      <c r="C24" s="1759"/>
      <c r="D24" s="1759"/>
      <c r="E24" s="1759"/>
      <c r="F24" s="1759"/>
      <c r="G24" s="1759"/>
      <c r="H24" s="1759"/>
      <c r="I24" s="1759"/>
      <c r="J24" s="1759"/>
      <c r="K24" s="1759"/>
      <c r="L24" s="1759"/>
      <c r="M24" s="1759"/>
      <c r="N24" s="1759"/>
      <c r="O24" s="1759"/>
      <c r="P24" s="1759"/>
      <c r="Q24" s="1759"/>
      <c r="R24" s="1759"/>
      <c r="S24" s="1759"/>
      <c r="T24" s="1759"/>
      <c r="U24" s="1759"/>
      <c r="V24" s="1759"/>
      <c r="W24" s="1759"/>
      <c r="X24" s="1759"/>
      <c r="Y24" s="1759"/>
      <c r="Z24" s="1759"/>
      <c r="AA24" s="1759"/>
      <c r="AB24" s="1759"/>
      <c r="AC24" s="1759"/>
      <c r="AD24" s="1759"/>
      <c r="AE24" s="1759"/>
      <c r="AF24" s="1759"/>
      <c r="AG24" s="1759"/>
      <c r="AH24" s="1759"/>
      <c r="AI24" s="1759"/>
      <c r="AJ24" s="1759"/>
      <c r="AK24" s="1759"/>
      <c r="AL24" s="1759"/>
      <c r="AM24" s="1759"/>
      <c r="AN24" s="1759"/>
      <c r="AO24" s="1759"/>
      <c r="AP24" s="1759"/>
      <c r="AQ24" s="1759"/>
      <c r="AR24" s="1759"/>
      <c r="AS24" s="1759"/>
      <c r="AT24" s="1759"/>
      <c r="AU24" s="18"/>
      <c r="AV24" s="18"/>
      <c r="AW24" s="18"/>
      <c r="AX24" s="18"/>
      <c r="AY24" s="18"/>
      <c r="AZ24" s="18"/>
      <c r="BD24" s="1182" t="s">
        <v>2453</v>
      </c>
      <c r="BE24" s="1183">
        <f>Application!AG459</f>
        <v>75857</v>
      </c>
    </row>
    <row r="25" spans="1:58"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181" t="s">
        <v>2454</v>
      </c>
      <c r="BE25" s="1183" t="str">
        <f>Application!D208</f>
        <v>40%/60%</v>
      </c>
    </row>
    <row r="26" spans="1:58" ht="12.95" customHeight="1">
      <c r="A26" s="4"/>
      <c r="C26" s="4"/>
      <c r="D26" s="4"/>
      <c r="E26" s="4"/>
      <c r="F26" s="4"/>
      <c r="G26" s="4"/>
      <c r="H26" s="4"/>
      <c r="I26" s="4"/>
      <c r="J26" s="4"/>
      <c r="K26" s="4"/>
      <c r="L26" s="4"/>
      <c r="M26" s="1761">
        <f>'Basis &amp; Credits'!AB56</f>
        <v>1608226</v>
      </c>
      <c r="N26" s="1761"/>
      <c r="O26" s="1761"/>
      <c r="P26" s="1761"/>
      <c r="Q26" s="1761"/>
      <c r="R26" s="4" t="s">
        <v>759</v>
      </c>
      <c r="S26" s="4"/>
      <c r="T26" s="4"/>
      <c r="U26" s="4"/>
      <c r="V26" s="4"/>
      <c r="W26" s="4"/>
      <c r="X26" s="4"/>
      <c r="Y26" s="4"/>
      <c r="Z26" s="4"/>
      <c r="AF26" s="4"/>
      <c r="AG26" s="4"/>
      <c r="AH26" s="4"/>
      <c r="AI26" s="4"/>
      <c r="AJ26" s="4"/>
      <c r="AK26" s="4"/>
      <c r="BD26" s="1182" t="s">
        <v>1628</v>
      </c>
      <c r="BE26" s="1183" t="b">
        <f>Application!M365="Yes"</f>
        <v>0</v>
      </c>
    </row>
    <row r="27" spans="1:58" ht="12.95" customHeight="1">
      <c r="A27" s="4"/>
      <c r="C27" s="4"/>
      <c r="D27" s="4"/>
      <c r="E27" s="4"/>
      <c r="F27" s="4"/>
      <c r="G27" s="4"/>
      <c r="H27" s="4"/>
      <c r="I27" s="4"/>
      <c r="J27" s="4"/>
      <c r="K27" s="4"/>
      <c r="L27" s="4"/>
      <c r="M27" s="1300">
        <f>'Basis &amp; Credits'!AB78</f>
        <v>9278223</v>
      </c>
      <c r="N27" s="1300"/>
      <c r="O27" s="1300"/>
      <c r="P27" s="1300"/>
      <c r="Q27" s="1300"/>
      <c r="R27" s="3" t="s">
        <v>1267</v>
      </c>
      <c r="S27" s="4"/>
      <c r="T27" s="4"/>
      <c r="U27" s="4"/>
      <c r="V27" s="4"/>
      <c r="W27" s="4"/>
      <c r="X27" s="4"/>
      <c r="Y27" s="4"/>
      <c r="Z27" s="4"/>
      <c r="AF27" s="4"/>
      <c r="AG27" s="4"/>
      <c r="AH27" s="4"/>
      <c r="AI27" s="4"/>
      <c r="AJ27" s="4"/>
      <c r="AK27" s="4"/>
      <c r="BD27" s="1181" t="s">
        <v>2053</v>
      </c>
      <c r="BE27" s="1183" t="b">
        <f>Application!M364="Yes"</f>
        <v>1</v>
      </c>
    </row>
    <row r="28" spans="1:58"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182" t="s">
        <v>2455</v>
      </c>
      <c r="BE28" s="1183" t="b">
        <f>Application!M366="Yes"</f>
        <v>0</v>
      </c>
    </row>
    <row r="29" spans="1:58" ht="12.95" customHeight="1">
      <c r="A29" s="1458" t="s">
        <v>2101</v>
      </c>
      <c r="B29" s="1458"/>
      <c r="C29" s="1458"/>
      <c r="D29" s="1458"/>
      <c r="E29" s="1458"/>
      <c r="F29" s="1458"/>
      <c r="G29" s="1458"/>
      <c r="H29" s="1458"/>
      <c r="I29" s="1458"/>
      <c r="J29" s="1458"/>
      <c r="K29" s="1458"/>
      <c r="L29" s="1458"/>
      <c r="M29" s="1458"/>
      <c r="N29" s="1458"/>
      <c r="O29" s="1458"/>
      <c r="P29" s="1458"/>
      <c r="Q29" s="1458"/>
      <c r="R29" s="1458"/>
      <c r="S29" s="1458"/>
      <c r="T29" s="1458"/>
      <c r="U29" s="1458"/>
      <c r="V29" s="1458"/>
      <c r="W29" s="1458"/>
      <c r="X29" s="1458"/>
      <c r="Y29" s="1458"/>
      <c r="Z29" s="1458"/>
      <c r="AA29" s="1458"/>
      <c r="AB29" s="1458"/>
      <c r="AC29" s="1458"/>
      <c r="AD29" s="1458"/>
      <c r="AE29" s="1458"/>
      <c r="AF29" s="1458"/>
      <c r="AG29" s="1458"/>
      <c r="AH29" s="1458"/>
      <c r="AI29" s="1458"/>
      <c r="AJ29" s="1458"/>
      <c r="AK29" s="1458"/>
      <c r="AL29" s="1458"/>
      <c r="AM29" s="1458"/>
      <c r="AN29" s="1458"/>
      <c r="AO29" s="1458"/>
      <c r="AP29" s="1458"/>
      <c r="AQ29" s="1458"/>
      <c r="AR29" s="1458"/>
      <c r="AS29" s="1458"/>
      <c r="AT29" s="1458"/>
      <c r="BD29" s="1181" t="s">
        <v>2456</v>
      </c>
      <c r="BE29" s="1183" t="b">
        <f>Application!M367="Yes"</f>
        <v>0</v>
      </c>
    </row>
    <row r="30" spans="1:58" ht="12.95" customHeight="1">
      <c r="A30" s="1458"/>
      <c r="B30" s="1458"/>
      <c r="C30" s="1458"/>
      <c r="D30" s="1458"/>
      <c r="E30" s="1458"/>
      <c r="F30" s="1458"/>
      <c r="G30" s="1458"/>
      <c r="H30" s="1458"/>
      <c r="I30" s="1458"/>
      <c r="J30" s="1458"/>
      <c r="K30" s="1458"/>
      <c r="L30" s="1458"/>
      <c r="M30" s="1458"/>
      <c r="N30" s="1458"/>
      <c r="O30" s="1458"/>
      <c r="P30" s="1458"/>
      <c r="Q30" s="1458"/>
      <c r="R30" s="1458"/>
      <c r="S30" s="1458"/>
      <c r="T30" s="1458"/>
      <c r="U30" s="1458"/>
      <c r="V30" s="1458"/>
      <c r="W30" s="1458"/>
      <c r="X30" s="1458"/>
      <c r="Y30" s="1458"/>
      <c r="Z30" s="1458"/>
      <c r="AA30" s="1458"/>
      <c r="AB30" s="1458"/>
      <c r="AC30" s="1458"/>
      <c r="AD30" s="1458"/>
      <c r="AE30" s="1458"/>
      <c r="AF30" s="1458"/>
      <c r="AG30" s="1458"/>
      <c r="AH30" s="1458"/>
      <c r="AI30" s="1458"/>
      <c r="AJ30" s="1458"/>
      <c r="AK30" s="1458"/>
      <c r="AL30" s="1458"/>
      <c r="AM30" s="1458"/>
      <c r="AN30" s="1458"/>
      <c r="AO30" s="1458"/>
      <c r="AP30" s="1458"/>
      <c r="AQ30" s="1458"/>
      <c r="AR30" s="1458"/>
      <c r="AS30" s="1458"/>
      <c r="AT30" s="1458"/>
      <c r="AZ30" s="20"/>
      <c r="BD30" s="1182" t="s">
        <v>28</v>
      </c>
      <c r="BE30" s="1183" t="b">
        <f>Application!AJ364="Yes"</f>
        <v>0</v>
      </c>
    </row>
    <row r="31" spans="1:58" ht="12.95" customHeight="1">
      <c r="A31" s="1458"/>
      <c r="B31" s="1458"/>
      <c r="C31" s="1458"/>
      <c r="D31" s="1458"/>
      <c r="E31" s="1458"/>
      <c r="F31" s="1458"/>
      <c r="G31" s="1458"/>
      <c r="H31" s="1458"/>
      <c r="I31" s="1458"/>
      <c r="J31" s="1458"/>
      <c r="K31" s="1458"/>
      <c r="L31" s="1458"/>
      <c r="M31" s="1458"/>
      <c r="N31" s="1458"/>
      <c r="O31" s="1458"/>
      <c r="P31" s="1458"/>
      <c r="Q31" s="1458"/>
      <c r="R31" s="1458"/>
      <c r="S31" s="1458"/>
      <c r="T31" s="1458"/>
      <c r="U31" s="1458"/>
      <c r="V31" s="1458"/>
      <c r="W31" s="1458"/>
      <c r="X31" s="1458"/>
      <c r="Y31" s="1458"/>
      <c r="Z31" s="1458"/>
      <c r="AA31" s="1458"/>
      <c r="AB31" s="1458"/>
      <c r="AC31" s="1458"/>
      <c r="AD31" s="1458"/>
      <c r="AE31" s="1458"/>
      <c r="AF31" s="1458"/>
      <c r="AG31" s="1458"/>
      <c r="AH31" s="1458"/>
      <c r="AI31" s="1458"/>
      <c r="AJ31" s="1458"/>
      <c r="AK31" s="1458"/>
      <c r="AL31" s="1458"/>
      <c r="AM31" s="1458"/>
      <c r="AN31" s="1458"/>
      <c r="AO31" s="1458"/>
      <c r="AP31" s="1458"/>
      <c r="AQ31" s="1458"/>
      <c r="AR31" s="1458"/>
      <c r="AS31" s="1458"/>
      <c r="AT31" s="1458"/>
      <c r="AU31" s="20"/>
      <c r="AV31" s="20"/>
      <c r="AW31" s="20"/>
      <c r="AX31" s="20"/>
      <c r="AY31" s="20"/>
      <c r="AZ31" s="20"/>
      <c r="BD31" s="1181" t="s">
        <v>2457</v>
      </c>
      <c r="BE31" s="1183" t="str">
        <f>Application!D211</f>
        <v>Seniors</v>
      </c>
    </row>
    <row r="32" spans="1:58"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182" t="s">
        <v>2458</v>
      </c>
      <c r="BE32" s="1183">
        <f>IF(ISNUMBER(Application!W473),W473,0)</f>
        <v>0</v>
      </c>
    </row>
    <row r="33" spans="1:57" ht="12.95" hidden="1" customHeight="1">
      <c r="A33" s="519" t="s">
        <v>1278</v>
      </c>
      <c r="C33" s="519"/>
      <c r="D33" s="519"/>
      <c r="E33" s="519"/>
      <c r="F33" s="519"/>
      <c r="G33" s="519"/>
      <c r="H33" s="519"/>
      <c r="I33" s="519"/>
      <c r="J33" s="519"/>
      <c r="K33" s="519"/>
      <c r="L33" s="519"/>
      <c r="M33" s="519"/>
      <c r="N33" s="519"/>
      <c r="O33" s="1324" t="s">
        <v>669</v>
      </c>
      <c r="P33" s="1324"/>
      <c r="Q33" s="1760" t="s">
        <v>2102</v>
      </c>
      <c r="R33" s="1760"/>
      <c r="S33" s="1760"/>
      <c r="T33" s="1760"/>
      <c r="U33" s="1760"/>
      <c r="V33" s="1760"/>
      <c r="W33" s="1760"/>
      <c r="X33" s="1760"/>
      <c r="Y33" s="1760"/>
      <c r="Z33" s="1760"/>
      <c r="AA33" s="1760"/>
      <c r="AB33" s="1760"/>
      <c r="AC33" s="1760"/>
      <c r="AD33" s="1760"/>
      <c r="AE33" s="1760"/>
      <c r="AF33" s="1760"/>
      <c r="AG33" s="1760"/>
      <c r="AH33" s="1760"/>
      <c r="AI33" s="1760"/>
      <c r="AJ33" s="1760"/>
      <c r="AK33" s="1760"/>
      <c r="AL33" s="1760"/>
      <c r="AM33" s="1760"/>
      <c r="AN33" s="1760"/>
      <c r="AO33" s="1760"/>
      <c r="AP33" s="1760"/>
      <c r="AQ33" s="1760"/>
      <c r="AR33" s="1760"/>
      <c r="AS33" s="1760"/>
      <c r="AT33" s="1760"/>
      <c r="AU33" s="20"/>
      <c r="AV33" s="20"/>
      <c r="AW33" s="20"/>
      <c r="AX33" s="20"/>
      <c r="AY33" s="20"/>
      <c r="BD33" s="1181" t="s">
        <v>2523</v>
      </c>
      <c r="BE33" s="1183" t="str">
        <f>Application!D220</f>
        <v>(select one)</v>
      </c>
    </row>
    <row r="34" spans="1:57" ht="12.95" hidden="1" customHeight="1">
      <c r="A34" s="1458" t="s">
        <v>2103</v>
      </c>
      <c r="B34" s="1458"/>
      <c r="C34" s="1458"/>
      <c r="D34" s="1458"/>
      <c r="E34" s="1458"/>
      <c r="F34" s="1458"/>
      <c r="G34" s="1458"/>
      <c r="H34" s="1458"/>
      <c r="I34" s="1458"/>
      <c r="J34" s="1458"/>
      <c r="K34" s="1458"/>
      <c r="L34" s="1458"/>
      <c r="M34" s="1458"/>
      <c r="N34" s="1458"/>
      <c r="O34" s="1458"/>
      <c r="P34" s="1458"/>
      <c r="Q34" s="1458"/>
      <c r="R34" s="1458"/>
      <c r="S34" s="1458"/>
      <c r="T34" s="1458"/>
      <c r="U34" s="1458"/>
      <c r="V34" s="1458"/>
      <c r="W34" s="1458"/>
      <c r="X34" s="1458"/>
      <c r="Y34" s="1458"/>
      <c r="Z34" s="1458"/>
      <c r="AA34" s="1458"/>
      <c r="AB34" s="1458"/>
      <c r="AC34" s="1458"/>
      <c r="AD34" s="1458"/>
      <c r="AE34" s="1458"/>
      <c r="AF34" s="1458"/>
      <c r="AG34" s="1458"/>
      <c r="AH34" s="1458"/>
      <c r="AI34" s="1458"/>
      <c r="AJ34" s="1458"/>
      <c r="AK34" s="1458"/>
      <c r="AL34" s="1458"/>
      <c r="AM34" s="1458"/>
      <c r="AN34" s="1458"/>
      <c r="AO34" s="1458"/>
      <c r="AP34" s="1458"/>
      <c r="AQ34" s="1458"/>
      <c r="AR34" s="1458"/>
      <c r="AS34" s="1458"/>
      <c r="AT34" s="1458"/>
      <c r="AU34" s="20"/>
      <c r="AV34" s="20"/>
      <c r="AW34" s="20"/>
      <c r="AX34" s="20"/>
      <c r="AY34" s="20"/>
      <c r="AZ34" s="20"/>
      <c r="BD34" s="1182" t="s">
        <v>2459</v>
      </c>
      <c r="BE34" s="1183" t="str">
        <f>Application!I185</f>
        <v>348 Park Street</v>
      </c>
    </row>
    <row r="35" spans="1:57" ht="12.95" hidden="1" customHeight="1">
      <c r="A35" s="1458"/>
      <c r="B35" s="1458"/>
      <c r="C35" s="1458"/>
      <c r="D35" s="1458"/>
      <c r="E35" s="1458"/>
      <c r="F35" s="1458"/>
      <c r="G35" s="1458"/>
      <c r="H35" s="1458"/>
      <c r="I35" s="1458"/>
      <c r="J35" s="1458"/>
      <c r="K35" s="1458"/>
      <c r="L35" s="1458"/>
      <c r="M35" s="1458"/>
      <c r="N35" s="1458"/>
      <c r="O35" s="1458"/>
      <c r="P35" s="1458"/>
      <c r="Q35" s="1458"/>
      <c r="R35" s="1458"/>
      <c r="S35" s="1458"/>
      <c r="T35" s="1458"/>
      <c r="U35" s="1458"/>
      <c r="V35" s="1458"/>
      <c r="W35" s="1458"/>
      <c r="X35" s="1458"/>
      <c r="Y35" s="1458"/>
      <c r="Z35" s="1458"/>
      <c r="AA35" s="1458"/>
      <c r="AB35" s="1458"/>
      <c r="AC35" s="1458"/>
      <c r="AD35" s="1458"/>
      <c r="AE35" s="1458"/>
      <c r="AF35" s="1458"/>
      <c r="AG35" s="1458"/>
      <c r="AH35" s="1458"/>
      <c r="AI35" s="1458"/>
      <c r="AJ35" s="1458"/>
      <c r="AK35" s="1458"/>
      <c r="AL35" s="1458"/>
      <c r="AM35" s="1458"/>
      <c r="AN35" s="1458"/>
      <c r="AO35" s="1458"/>
      <c r="AP35" s="1458"/>
      <c r="AQ35" s="1458"/>
      <c r="AR35" s="1458"/>
      <c r="AS35" s="1458"/>
      <c r="AT35" s="1458"/>
      <c r="AU35" s="20"/>
      <c r="AV35" s="20"/>
      <c r="AW35" s="20"/>
      <c r="AX35" s="20"/>
      <c r="AY35" s="20"/>
      <c r="AZ35" s="20"/>
      <c r="BD35" s="1181" t="s">
        <v>2460</v>
      </c>
      <c r="BE35" s="1183" t="str">
        <f>IF(Application!E187="","",Application!E187)</f>
        <v/>
      </c>
    </row>
    <row r="36" spans="1:57" ht="12.95" hidden="1" customHeight="1">
      <c r="A36" s="1458"/>
      <c r="B36" s="1458"/>
      <c r="C36" s="1458"/>
      <c r="D36" s="1458"/>
      <c r="E36" s="1458"/>
      <c r="F36" s="1458"/>
      <c r="G36" s="1458"/>
      <c r="H36" s="1458"/>
      <c r="I36" s="1458"/>
      <c r="J36" s="1458"/>
      <c r="K36" s="1458"/>
      <c r="L36" s="1458"/>
      <c r="M36" s="1458"/>
      <c r="N36" s="1458"/>
      <c r="O36" s="1458"/>
      <c r="P36" s="1458"/>
      <c r="Q36" s="1458"/>
      <c r="R36" s="1458"/>
      <c r="S36" s="1458"/>
      <c r="T36" s="1458"/>
      <c r="U36" s="1458"/>
      <c r="V36" s="1458"/>
      <c r="W36" s="1458"/>
      <c r="X36" s="1458"/>
      <c r="Y36" s="1458"/>
      <c r="Z36" s="1458"/>
      <c r="AA36" s="1458"/>
      <c r="AB36" s="1458"/>
      <c r="AC36" s="1458"/>
      <c r="AD36" s="1458"/>
      <c r="AE36" s="1458"/>
      <c r="AF36" s="1458"/>
      <c r="AG36" s="1458"/>
      <c r="AH36" s="1458"/>
      <c r="AI36" s="1458"/>
      <c r="AJ36" s="1458"/>
      <c r="AK36" s="1458"/>
      <c r="AL36" s="1458"/>
      <c r="AM36" s="1458"/>
      <c r="AN36" s="1458"/>
      <c r="AO36" s="1458"/>
      <c r="AP36" s="1458"/>
      <c r="AQ36" s="1458"/>
      <c r="AR36" s="1458"/>
      <c r="AS36" s="1458"/>
      <c r="AT36" s="1458"/>
      <c r="AU36" s="20"/>
      <c r="AV36" s="20"/>
      <c r="AW36" s="20"/>
      <c r="AX36" s="20"/>
      <c r="AY36" s="20"/>
      <c r="AZ36" s="20"/>
      <c r="BD36" s="1182" t="s">
        <v>2461</v>
      </c>
      <c r="BE36" s="1183" t="str">
        <f>Application!I189</f>
        <v>Moraga</v>
      </c>
    </row>
    <row r="37" spans="1:57" ht="12.95" hidden="1" customHeight="1">
      <c r="A37" s="1458"/>
      <c r="B37" s="1458"/>
      <c r="C37" s="1458"/>
      <c r="D37" s="1458"/>
      <c r="E37" s="1458"/>
      <c r="F37" s="1458"/>
      <c r="G37" s="1458"/>
      <c r="H37" s="1458"/>
      <c r="I37" s="1458"/>
      <c r="J37" s="1458"/>
      <c r="K37" s="1458"/>
      <c r="L37" s="1458"/>
      <c r="M37" s="1458"/>
      <c r="N37" s="1458"/>
      <c r="O37" s="1458"/>
      <c r="P37" s="1458"/>
      <c r="Q37" s="1458"/>
      <c r="R37" s="1458"/>
      <c r="S37" s="1458"/>
      <c r="T37" s="1458"/>
      <c r="U37" s="1458"/>
      <c r="V37" s="1458"/>
      <c r="W37" s="1458"/>
      <c r="X37" s="1458"/>
      <c r="Y37" s="1458"/>
      <c r="Z37" s="1458"/>
      <c r="AA37" s="1458"/>
      <c r="AB37" s="1458"/>
      <c r="AC37" s="1458"/>
      <c r="AD37" s="1458"/>
      <c r="AE37" s="1458"/>
      <c r="AF37" s="1458"/>
      <c r="AG37" s="1458"/>
      <c r="AH37" s="1458"/>
      <c r="AI37" s="1458"/>
      <c r="AJ37" s="1458"/>
      <c r="AK37" s="1458"/>
      <c r="AL37" s="1458"/>
      <c r="AM37" s="1458"/>
      <c r="AN37" s="1458"/>
      <c r="AO37" s="1458"/>
      <c r="AP37" s="1458"/>
      <c r="AQ37" s="1458"/>
      <c r="AR37" s="1458"/>
      <c r="AS37" s="1458"/>
      <c r="AT37" s="1458"/>
      <c r="AZ37" s="20"/>
      <c r="BD37" s="1181" t="s">
        <v>2462</v>
      </c>
      <c r="BE37" s="1183" t="str">
        <f>Application!T189</f>
        <v>Contra Costa</v>
      </c>
    </row>
    <row r="38" spans="1:57" ht="12.95" hidden="1" customHeight="1">
      <c r="A38" s="3"/>
      <c r="AZ38" s="20"/>
      <c r="BD38" s="1182" t="s">
        <v>2463</v>
      </c>
      <c r="BE38" s="1183">
        <f>Application!I190</f>
        <v>94556</v>
      </c>
    </row>
    <row r="39" spans="1:57" ht="12.95" customHeight="1">
      <c r="A39" s="1480" t="s">
        <v>2104</v>
      </c>
      <c r="B39" s="1480"/>
      <c r="C39" s="1480"/>
      <c r="D39" s="1480"/>
      <c r="E39" s="1480"/>
      <c r="F39" s="1480"/>
      <c r="G39" s="1480"/>
      <c r="H39" s="1480"/>
      <c r="I39" s="1480"/>
      <c r="J39" s="1480"/>
      <c r="K39" s="1480"/>
      <c r="L39" s="1480"/>
      <c r="M39" s="1480"/>
      <c r="N39" s="1480"/>
      <c r="O39" s="1480"/>
      <c r="P39" s="1480"/>
      <c r="Q39" s="1480"/>
      <c r="R39" s="1480"/>
      <c r="S39" s="1480"/>
      <c r="T39" s="1480"/>
      <c r="U39" s="1480"/>
      <c r="V39" s="1480"/>
      <c r="W39" s="1480"/>
      <c r="X39" s="1480"/>
      <c r="Y39" s="1480"/>
      <c r="Z39" s="1480"/>
      <c r="AA39" s="1480"/>
      <c r="AB39" s="1480"/>
      <c r="AC39" s="1480"/>
      <c r="AD39" s="1480"/>
      <c r="AE39" s="1480"/>
      <c r="AF39" s="1480"/>
      <c r="AG39" s="1480"/>
      <c r="AH39" s="1480"/>
      <c r="AI39" s="1480"/>
      <c r="AJ39" s="1480"/>
      <c r="AK39" s="1480"/>
      <c r="AL39" s="1480"/>
      <c r="AM39" s="1480"/>
      <c r="AN39" s="1480"/>
      <c r="AO39" s="1480"/>
      <c r="AP39" s="1480"/>
      <c r="AQ39" s="1480"/>
      <c r="AR39" s="1480"/>
      <c r="AS39" s="1480"/>
      <c r="AT39" s="1480"/>
      <c r="AZ39" s="20"/>
      <c r="BD39" s="1181" t="s">
        <v>2464</v>
      </c>
      <c r="BE39" s="1183">
        <f>Application!AG446</f>
        <v>49</v>
      </c>
    </row>
    <row r="40" spans="1:57" ht="12.95" customHeight="1">
      <c r="A40" s="1480"/>
      <c r="B40" s="1480"/>
      <c r="C40" s="1480"/>
      <c r="D40" s="1480"/>
      <c r="E40" s="1480"/>
      <c r="F40" s="1480"/>
      <c r="G40" s="1480"/>
      <c r="H40" s="1480"/>
      <c r="I40" s="1480"/>
      <c r="J40" s="1480"/>
      <c r="K40" s="1480"/>
      <c r="L40" s="1480"/>
      <c r="M40" s="1480"/>
      <c r="N40" s="1480"/>
      <c r="O40" s="1480"/>
      <c r="P40" s="1480"/>
      <c r="Q40" s="1480"/>
      <c r="R40" s="1480"/>
      <c r="S40" s="1480"/>
      <c r="T40" s="1480"/>
      <c r="U40" s="1480"/>
      <c r="V40" s="1480"/>
      <c r="W40" s="1480"/>
      <c r="X40" s="1480"/>
      <c r="Y40" s="1480"/>
      <c r="Z40" s="1480"/>
      <c r="AA40" s="1480"/>
      <c r="AB40" s="1480"/>
      <c r="AC40" s="1480"/>
      <c r="AD40" s="1480"/>
      <c r="AE40" s="1480"/>
      <c r="AF40" s="1480"/>
      <c r="AG40" s="1480"/>
      <c r="AH40" s="1480"/>
      <c r="AI40" s="1480"/>
      <c r="AJ40" s="1480"/>
      <c r="AK40" s="1480"/>
      <c r="AL40" s="1480"/>
      <c r="AM40" s="1480"/>
      <c r="AN40" s="1480"/>
      <c r="AO40" s="1480"/>
      <c r="AP40" s="1480"/>
      <c r="AQ40" s="1480"/>
      <c r="AR40" s="1480"/>
      <c r="AS40" s="1480"/>
      <c r="AT40" s="1480"/>
      <c r="AU40" s="20"/>
      <c r="AV40" s="20"/>
      <c r="AW40" s="20"/>
      <c r="AX40" s="20"/>
      <c r="AY40" s="20"/>
      <c r="AZ40" s="20"/>
      <c r="BD40" s="1182" t="s">
        <v>384</v>
      </c>
      <c r="BE40" s="1183">
        <f>Application!AG449</f>
        <v>48</v>
      </c>
    </row>
    <row r="41" spans="1:57" ht="12.95" customHeight="1">
      <c r="A41" s="1480"/>
      <c r="B41" s="1480"/>
      <c r="C41" s="1480"/>
      <c r="D41" s="1480"/>
      <c r="E41" s="1480"/>
      <c r="F41" s="1480"/>
      <c r="G41" s="1480"/>
      <c r="H41" s="1480"/>
      <c r="I41" s="1480"/>
      <c r="J41" s="1480"/>
      <c r="K41" s="1480"/>
      <c r="L41" s="1480"/>
      <c r="M41" s="1480"/>
      <c r="N41" s="1480"/>
      <c r="O41" s="1480"/>
      <c r="P41" s="1480"/>
      <c r="Q41" s="1480"/>
      <c r="R41" s="1480"/>
      <c r="S41" s="1480"/>
      <c r="T41" s="1480"/>
      <c r="U41" s="1480"/>
      <c r="V41" s="1480"/>
      <c r="W41" s="1480"/>
      <c r="X41" s="1480"/>
      <c r="Y41" s="1480"/>
      <c r="Z41" s="1480"/>
      <c r="AA41" s="1480"/>
      <c r="AB41" s="1480"/>
      <c r="AC41" s="1480"/>
      <c r="AD41" s="1480"/>
      <c r="AE41" s="1480"/>
      <c r="AF41" s="1480"/>
      <c r="AG41" s="1480"/>
      <c r="AH41" s="1480"/>
      <c r="AI41" s="1480"/>
      <c r="AJ41" s="1480"/>
      <c r="AK41" s="1480"/>
      <c r="AL41" s="1480"/>
      <c r="AM41" s="1480"/>
      <c r="AN41" s="1480"/>
      <c r="AO41" s="1480"/>
      <c r="AP41" s="1480"/>
      <c r="AQ41" s="1480"/>
      <c r="AR41" s="1480"/>
      <c r="AS41" s="1480"/>
      <c r="AT41" s="1480"/>
      <c r="AU41" s="20"/>
      <c r="AV41" s="20"/>
      <c r="AW41" s="20"/>
      <c r="AX41" s="20"/>
      <c r="AY41" s="20"/>
      <c r="AZ41" s="20"/>
      <c r="BD41" s="1181" t="s">
        <v>287</v>
      </c>
      <c r="BE41" s="1183">
        <f>Application!AG447</f>
        <v>0</v>
      </c>
    </row>
    <row r="42" spans="1:57" ht="12.95" customHeight="1">
      <c r="A42" s="1480"/>
      <c r="B42" s="1480"/>
      <c r="C42" s="1480"/>
      <c r="D42" s="1480"/>
      <c r="E42" s="1480"/>
      <c r="F42" s="1480"/>
      <c r="G42" s="1480"/>
      <c r="H42" s="1480"/>
      <c r="I42" s="1480"/>
      <c r="J42" s="1480"/>
      <c r="K42" s="1480"/>
      <c r="L42" s="1480"/>
      <c r="M42" s="1480"/>
      <c r="N42" s="1480"/>
      <c r="O42" s="1480"/>
      <c r="P42" s="1480"/>
      <c r="Q42" s="1480"/>
      <c r="R42" s="1480"/>
      <c r="S42" s="1480"/>
      <c r="T42" s="1480"/>
      <c r="U42" s="1480"/>
      <c r="V42" s="1480"/>
      <c r="W42" s="1480"/>
      <c r="X42" s="1480"/>
      <c r="Y42" s="1480"/>
      <c r="Z42" s="1480"/>
      <c r="AA42" s="1480"/>
      <c r="AB42" s="1480"/>
      <c r="AC42" s="1480"/>
      <c r="AD42" s="1480"/>
      <c r="AE42" s="1480"/>
      <c r="AF42" s="1480"/>
      <c r="AG42" s="1480"/>
      <c r="AH42" s="1480"/>
      <c r="AI42" s="1480"/>
      <c r="AJ42" s="1480"/>
      <c r="AK42" s="1480"/>
      <c r="AL42" s="1480"/>
      <c r="AM42" s="1480"/>
      <c r="AN42" s="1480"/>
      <c r="AO42" s="1480"/>
      <c r="AP42" s="1480"/>
      <c r="AQ42" s="1480"/>
      <c r="AR42" s="1480"/>
      <c r="AS42" s="1480"/>
      <c r="AT42" s="1480"/>
      <c r="AZ42" s="20"/>
      <c r="BD42" s="1182" t="s">
        <v>2465</v>
      </c>
      <c r="BE42" s="1185">
        <f>Application!AC761</f>
        <v>0.59375</v>
      </c>
    </row>
    <row r="43" spans="1:57" ht="12.95" customHeight="1">
      <c r="A43" s="1480"/>
      <c r="B43" s="1480"/>
      <c r="C43" s="1480"/>
      <c r="D43" s="1480"/>
      <c r="E43" s="1480"/>
      <c r="F43" s="1480"/>
      <c r="G43" s="1480"/>
      <c r="H43" s="1480"/>
      <c r="I43" s="1480"/>
      <c r="J43" s="1480"/>
      <c r="K43" s="1480"/>
      <c r="L43" s="1480"/>
      <c r="M43" s="1480"/>
      <c r="N43" s="1480"/>
      <c r="O43" s="1480"/>
      <c r="P43" s="1480"/>
      <c r="Q43" s="1480"/>
      <c r="R43" s="1480"/>
      <c r="S43" s="1480"/>
      <c r="T43" s="1480"/>
      <c r="U43" s="1480"/>
      <c r="V43" s="1480"/>
      <c r="W43" s="1480"/>
      <c r="X43" s="1480"/>
      <c r="Y43" s="1480"/>
      <c r="Z43" s="1480"/>
      <c r="AA43" s="1480"/>
      <c r="AB43" s="1480"/>
      <c r="AC43" s="1480"/>
      <c r="AD43" s="1480"/>
      <c r="AE43" s="1480"/>
      <c r="AF43" s="1480"/>
      <c r="AG43" s="1480"/>
      <c r="AH43" s="1480"/>
      <c r="AI43" s="1480"/>
      <c r="AJ43" s="1480"/>
      <c r="AK43" s="1480"/>
      <c r="AL43" s="1480"/>
      <c r="AM43" s="1480"/>
      <c r="AN43" s="1480"/>
      <c r="AO43" s="1480"/>
      <c r="AP43" s="1480"/>
      <c r="AQ43" s="1480"/>
      <c r="AR43" s="1480"/>
      <c r="AS43" s="1480"/>
      <c r="AT43" s="1480"/>
      <c r="AU43" s="20"/>
      <c r="AV43" s="20"/>
      <c r="AW43" s="20"/>
      <c r="AX43" s="20"/>
      <c r="AY43" s="20"/>
      <c r="AZ43" s="20"/>
      <c r="BD43" s="1181" t="s">
        <v>2466</v>
      </c>
      <c r="BE43" s="1185">
        <f>Application!AH761</f>
        <v>0.56301907565381892</v>
      </c>
    </row>
    <row r="44" spans="1:57" ht="12.95" customHeight="1">
      <c r="A44" s="1480"/>
      <c r="B44" s="1480"/>
      <c r="C44" s="1480"/>
      <c r="D44" s="1480"/>
      <c r="E44" s="1480"/>
      <c r="F44" s="1480"/>
      <c r="G44" s="1480"/>
      <c r="H44" s="1480"/>
      <c r="I44" s="1480"/>
      <c r="J44" s="1480"/>
      <c r="K44" s="1480"/>
      <c r="L44" s="1480"/>
      <c r="M44" s="1480"/>
      <c r="N44" s="1480"/>
      <c r="O44" s="1480"/>
      <c r="P44" s="1480"/>
      <c r="Q44" s="1480"/>
      <c r="R44" s="1480"/>
      <c r="S44" s="1480"/>
      <c r="T44" s="1480"/>
      <c r="U44" s="1480"/>
      <c r="V44" s="1480"/>
      <c r="W44" s="1480"/>
      <c r="X44" s="1480"/>
      <c r="Y44" s="1480"/>
      <c r="Z44" s="1480"/>
      <c r="AA44" s="1480"/>
      <c r="AB44" s="1480"/>
      <c r="AC44" s="1480"/>
      <c r="AD44" s="1480"/>
      <c r="AE44" s="1480"/>
      <c r="AF44" s="1480"/>
      <c r="AG44" s="1480"/>
      <c r="AH44" s="1480"/>
      <c r="AI44" s="1480"/>
      <c r="AJ44" s="1480"/>
      <c r="AK44" s="1480"/>
      <c r="AL44" s="1480"/>
      <c r="AM44" s="1480"/>
      <c r="AN44" s="1480"/>
      <c r="AO44" s="1480"/>
      <c r="AP44" s="1480"/>
      <c r="AQ44" s="1480"/>
      <c r="AR44" s="1480"/>
      <c r="AS44" s="1480"/>
      <c r="AT44" s="1480"/>
      <c r="AU44" s="20"/>
      <c r="AV44" s="20"/>
      <c r="AW44" s="20"/>
      <c r="AX44" s="20"/>
      <c r="AY44" s="20"/>
      <c r="AZ44" s="20"/>
      <c r="BD44" s="1182" t="s">
        <v>2467</v>
      </c>
      <c r="BE44" s="1183">
        <f>Application!AC463</f>
        <v>697615.04081632651</v>
      </c>
    </row>
    <row r="45" spans="1:57" ht="12.95" customHeight="1">
      <c r="A45" s="519"/>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181" t="s">
        <v>2468</v>
      </c>
      <c r="BE45" s="1183">
        <f>Application!AE433</f>
        <v>0</v>
      </c>
    </row>
    <row r="46" spans="1:57" ht="12.95" customHeight="1">
      <c r="A46" s="1759" t="s">
        <v>2105</v>
      </c>
      <c r="B46" s="1759"/>
      <c r="C46" s="1759"/>
      <c r="D46" s="1759"/>
      <c r="E46" s="1759"/>
      <c r="F46" s="1759"/>
      <c r="G46" s="1759"/>
      <c r="H46" s="1759"/>
      <c r="I46" s="1759"/>
      <c r="J46" s="1759"/>
      <c r="K46" s="1759"/>
      <c r="L46" s="1759"/>
      <c r="M46" s="1759"/>
      <c r="N46" s="1759"/>
      <c r="O46" s="1759"/>
      <c r="P46" s="1759"/>
      <c r="Q46" s="1759"/>
      <c r="R46" s="1759"/>
      <c r="S46" s="1759"/>
      <c r="T46" s="1759"/>
      <c r="U46" s="1759"/>
      <c r="V46" s="1759"/>
      <c r="W46" s="1759"/>
      <c r="X46" s="1759"/>
      <c r="Y46" s="1759"/>
      <c r="Z46" s="1759"/>
      <c r="AA46" s="1759"/>
      <c r="AB46" s="1759"/>
      <c r="AC46" s="1759"/>
      <c r="AD46" s="1759"/>
      <c r="AE46" s="1759"/>
      <c r="AF46" s="1759"/>
      <c r="AG46" s="1759"/>
      <c r="AH46" s="1759"/>
      <c r="AI46" s="1759"/>
      <c r="AJ46" s="1759"/>
      <c r="AK46" s="1759"/>
      <c r="AL46" s="1759"/>
      <c r="AM46" s="1759"/>
      <c r="AN46" s="1759"/>
      <c r="AO46" s="1759"/>
      <c r="AP46" s="1759"/>
      <c r="AQ46" s="1759"/>
      <c r="AR46" s="1759"/>
      <c r="AS46" s="1759"/>
      <c r="AT46" s="1759"/>
      <c r="AU46" s="20"/>
      <c r="AV46" s="20"/>
      <c r="AW46" s="20"/>
      <c r="AX46" s="20"/>
      <c r="AY46" s="20"/>
      <c r="AZ46" s="20"/>
      <c r="BD46" s="1182" t="s">
        <v>2469</v>
      </c>
      <c r="BE46" s="1183" t="b">
        <f>Application!T195="Yes"</f>
        <v>1</v>
      </c>
    </row>
    <row r="47" spans="1:57" ht="12.95" customHeight="1">
      <c r="A47" s="1759"/>
      <c r="B47" s="1759"/>
      <c r="C47" s="1759"/>
      <c r="D47" s="1759"/>
      <c r="E47" s="1759"/>
      <c r="F47" s="1759"/>
      <c r="G47" s="1759"/>
      <c r="H47" s="1759"/>
      <c r="I47" s="1759"/>
      <c r="J47" s="1759"/>
      <c r="K47" s="1759"/>
      <c r="L47" s="1759"/>
      <c r="M47" s="1759"/>
      <c r="N47" s="1759"/>
      <c r="O47" s="1759"/>
      <c r="P47" s="1759"/>
      <c r="Q47" s="1759"/>
      <c r="R47" s="1759"/>
      <c r="S47" s="1759"/>
      <c r="T47" s="1759"/>
      <c r="U47" s="1759"/>
      <c r="V47" s="1759"/>
      <c r="W47" s="1759"/>
      <c r="X47" s="1759"/>
      <c r="Y47" s="1759"/>
      <c r="Z47" s="1759"/>
      <c r="AA47" s="1759"/>
      <c r="AB47" s="1759"/>
      <c r="AC47" s="1759"/>
      <c r="AD47" s="1759"/>
      <c r="AE47" s="1759"/>
      <c r="AF47" s="1759"/>
      <c r="AG47" s="1759"/>
      <c r="AH47" s="1759"/>
      <c r="AI47" s="1759"/>
      <c r="AJ47" s="1759"/>
      <c r="AK47" s="1759"/>
      <c r="AL47" s="1759"/>
      <c r="AM47" s="1759"/>
      <c r="AN47" s="1759"/>
      <c r="AO47" s="1759"/>
      <c r="AP47" s="1759"/>
      <c r="AQ47" s="1759"/>
      <c r="AR47" s="1759"/>
      <c r="AS47" s="1759"/>
      <c r="AT47" s="1759"/>
      <c r="AU47" s="20"/>
      <c r="AV47" s="20"/>
      <c r="AW47" s="20"/>
      <c r="AX47" s="20"/>
      <c r="AY47" s="20"/>
      <c r="AZ47" s="20"/>
      <c r="BD47" s="1181" t="s">
        <v>2470</v>
      </c>
      <c r="BE47" s="1183" t="b">
        <f>Application!T196="Yes"</f>
        <v>0</v>
      </c>
    </row>
    <row r="48" spans="1:57" ht="12.95" customHeight="1">
      <c r="A48" s="1759"/>
      <c r="B48" s="1759"/>
      <c r="C48" s="1759"/>
      <c r="D48" s="1759"/>
      <c r="E48" s="1759"/>
      <c r="F48" s="1759"/>
      <c r="G48" s="1759"/>
      <c r="H48" s="1759"/>
      <c r="I48" s="1759"/>
      <c r="J48" s="1759"/>
      <c r="K48" s="1759"/>
      <c r="L48" s="1759"/>
      <c r="M48" s="1759"/>
      <c r="N48" s="1759"/>
      <c r="O48" s="1759"/>
      <c r="P48" s="1759"/>
      <c r="Q48" s="1759"/>
      <c r="R48" s="1759"/>
      <c r="S48" s="1759"/>
      <c r="T48" s="1759"/>
      <c r="U48" s="1759"/>
      <c r="V48" s="1759"/>
      <c r="W48" s="1759"/>
      <c r="X48" s="1759"/>
      <c r="Y48" s="1759"/>
      <c r="Z48" s="1759"/>
      <c r="AA48" s="1759"/>
      <c r="AB48" s="1759"/>
      <c r="AC48" s="1759"/>
      <c r="AD48" s="1759"/>
      <c r="AE48" s="1759"/>
      <c r="AF48" s="1759"/>
      <c r="AG48" s="1759"/>
      <c r="AH48" s="1759"/>
      <c r="AI48" s="1759"/>
      <c r="AJ48" s="1759"/>
      <c r="AK48" s="1759"/>
      <c r="AL48" s="1759"/>
      <c r="AM48" s="1759"/>
      <c r="AN48" s="1759"/>
      <c r="AO48" s="1759"/>
      <c r="AP48" s="1759"/>
      <c r="AQ48" s="1759"/>
      <c r="AR48" s="1759"/>
      <c r="AS48" s="1759"/>
      <c r="AT48" s="1759"/>
      <c r="AU48" s="20"/>
      <c r="AV48" s="20"/>
      <c r="AW48" s="20"/>
      <c r="AX48" s="20"/>
      <c r="AY48" s="20"/>
      <c r="AZ48" s="20"/>
      <c r="BD48" s="1182" t="s">
        <v>2471</v>
      </c>
      <c r="BE48" s="1183" t="str">
        <f>Application!M252</f>
        <v>Moraga Park Street LLC</v>
      </c>
    </row>
    <row r="49" spans="1:57" ht="12.95" customHeight="1">
      <c r="A49" s="1759"/>
      <c r="B49" s="1759"/>
      <c r="C49" s="1759"/>
      <c r="D49" s="1759"/>
      <c r="E49" s="1759"/>
      <c r="F49" s="1759"/>
      <c r="G49" s="1759"/>
      <c r="H49" s="1759"/>
      <c r="I49" s="1759"/>
      <c r="J49" s="1759"/>
      <c r="K49" s="1759"/>
      <c r="L49" s="1759"/>
      <c r="M49" s="1759"/>
      <c r="N49" s="1759"/>
      <c r="O49" s="1759"/>
      <c r="P49" s="1759"/>
      <c r="Q49" s="1759"/>
      <c r="R49" s="1759"/>
      <c r="S49" s="1759"/>
      <c r="T49" s="1759"/>
      <c r="U49" s="1759"/>
      <c r="V49" s="1759"/>
      <c r="W49" s="1759"/>
      <c r="X49" s="1759"/>
      <c r="Y49" s="1759"/>
      <c r="Z49" s="1759"/>
      <c r="AA49" s="1759"/>
      <c r="AB49" s="1759"/>
      <c r="AC49" s="1759"/>
      <c r="AD49" s="1759"/>
      <c r="AE49" s="1759"/>
      <c r="AF49" s="1759"/>
      <c r="AG49" s="1759"/>
      <c r="AH49" s="1759"/>
      <c r="AI49" s="1759"/>
      <c r="AJ49" s="1759"/>
      <c r="AK49" s="1759"/>
      <c r="AL49" s="1759"/>
      <c r="AM49" s="1759"/>
      <c r="AN49" s="1759"/>
      <c r="AO49" s="1759"/>
      <c r="AP49" s="1759"/>
      <c r="AQ49" s="1759"/>
      <c r="AR49" s="1759"/>
      <c r="AS49" s="1759"/>
      <c r="AT49" s="1759"/>
      <c r="AU49" s="20"/>
      <c r="AV49" s="20"/>
      <c r="AW49" s="20"/>
      <c r="AX49" s="20"/>
      <c r="AY49" s="20"/>
      <c r="AZ49" s="20"/>
      <c r="BD49" s="1181" t="s">
        <v>2472</v>
      </c>
      <c r="BE49" s="1183" t="str">
        <f>Application!M255</f>
        <v>Chris Dart</v>
      </c>
    </row>
    <row r="50" spans="1:57" ht="12.95" customHeight="1">
      <c r="A50" s="455"/>
      <c r="B50" s="455"/>
      <c r="C50" s="455"/>
      <c r="D50" s="455"/>
      <c r="E50" s="455"/>
      <c r="F50" s="455"/>
      <c r="G50" s="455"/>
      <c r="H50" s="455"/>
      <c r="I50" s="455"/>
      <c r="J50" s="455"/>
      <c r="K50" s="455"/>
      <c r="L50" s="455"/>
      <c r="M50" s="455"/>
      <c r="N50" s="455"/>
      <c r="O50" s="455"/>
      <c r="P50" s="455"/>
      <c r="Q50" s="455"/>
      <c r="R50" s="455"/>
      <c r="S50" s="455"/>
      <c r="T50" s="455"/>
      <c r="U50" s="455"/>
      <c r="V50" s="455"/>
      <c r="W50" s="455"/>
      <c r="X50" s="455"/>
      <c r="Y50" s="455"/>
      <c r="Z50" s="455"/>
      <c r="AA50" s="455"/>
      <c r="AB50" s="455"/>
      <c r="AC50" s="455"/>
      <c r="AD50" s="455"/>
      <c r="AE50" s="455"/>
      <c r="AF50" s="455"/>
      <c r="AG50" s="455"/>
      <c r="AH50" s="455"/>
      <c r="AI50" s="455"/>
      <c r="AJ50" s="455"/>
      <c r="AK50" s="455"/>
      <c r="AL50" s="455"/>
      <c r="AM50" s="455"/>
      <c r="AN50" s="455"/>
      <c r="AO50" s="455"/>
      <c r="AP50" s="455"/>
      <c r="AQ50" s="455"/>
      <c r="AR50" s="455"/>
      <c r="AS50" s="455"/>
      <c r="AT50" s="455"/>
      <c r="AU50" s="20"/>
      <c r="AV50" s="20"/>
      <c r="AW50" s="20"/>
      <c r="AX50" s="20"/>
      <c r="AY50" s="20"/>
      <c r="AZ50" s="20"/>
      <c r="BD50" s="1182" t="s">
        <v>2473</v>
      </c>
      <c r="BE50" s="1183" t="str">
        <f>Application!AA258</f>
        <v>Johnson &amp; Johnson Investments, LLC</v>
      </c>
    </row>
    <row r="51" spans="1:57" ht="12.95" customHeight="1">
      <c r="A51" s="1480" t="s">
        <v>2106</v>
      </c>
      <c r="B51" s="1480"/>
      <c r="C51" s="1480"/>
      <c r="D51" s="1480"/>
      <c r="E51" s="1480"/>
      <c r="F51" s="1480"/>
      <c r="G51" s="1480"/>
      <c r="H51" s="1480"/>
      <c r="I51" s="1480"/>
      <c r="J51" s="1480"/>
      <c r="K51" s="1480"/>
      <c r="L51" s="1480"/>
      <c r="M51" s="1480"/>
      <c r="N51" s="1480"/>
      <c r="O51" s="1480"/>
      <c r="P51" s="1480"/>
      <c r="Q51" s="1480"/>
      <c r="R51" s="1480"/>
      <c r="S51" s="1480"/>
      <c r="T51" s="1480"/>
      <c r="U51" s="1480"/>
      <c r="V51" s="1480"/>
      <c r="W51" s="1480"/>
      <c r="X51" s="1480"/>
      <c r="Y51" s="1480"/>
      <c r="Z51" s="1480"/>
      <c r="AA51" s="1480"/>
      <c r="AB51" s="1480"/>
      <c r="AC51" s="1480"/>
      <c r="AD51" s="1480"/>
      <c r="AE51" s="1480"/>
      <c r="AF51" s="1480"/>
      <c r="AG51" s="1480"/>
      <c r="AH51" s="1480"/>
      <c r="AI51" s="1480"/>
      <c r="AJ51" s="1480"/>
      <c r="AK51" s="1480"/>
      <c r="AL51" s="1480"/>
      <c r="AM51" s="1480"/>
      <c r="AN51" s="1480"/>
      <c r="AO51" s="1480"/>
      <c r="AP51" s="1480"/>
      <c r="AQ51" s="1480"/>
      <c r="AR51" s="1480"/>
      <c r="AS51" s="1480"/>
      <c r="AT51" s="1480"/>
      <c r="AU51" s="20"/>
      <c r="AV51" s="20"/>
      <c r="AW51" s="20"/>
      <c r="AX51" s="20"/>
      <c r="AY51" s="20"/>
      <c r="AZ51" s="20"/>
      <c r="BD51" s="1181" t="s">
        <v>2474</v>
      </c>
      <c r="BE51" s="1183" t="str">
        <f>Application!M260</f>
        <v>Community Revitalization and Development Corporation</v>
      </c>
    </row>
    <row r="52" spans="1:57" ht="12.95" customHeight="1">
      <c r="A52" s="1480"/>
      <c r="B52" s="1480"/>
      <c r="C52" s="1480"/>
      <c r="D52" s="1480"/>
      <c r="E52" s="1480"/>
      <c r="F52" s="1480"/>
      <c r="G52" s="1480"/>
      <c r="H52" s="1480"/>
      <c r="I52" s="1480"/>
      <c r="J52" s="1480"/>
      <c r="K52" s="1480"/>
      <c r="L52" s="1480"/>
      <c r="M52" s="1480"/>
      <c r="N52" s="1480"/>
      <c r="O52" s="1480"/>
      <c r="P52" s="1480"/>
      <c r="Q52" s="1480"/>
      <c r="R52" s="1480"/>
      <c r="S52" s="1480"/>
      <c r="T52" s="1480"/>
      <c r="U52" s="1480"/>
      <c r="V52" s="1480"/>
      <c r="W52" s="1480"/>
      <c r="X52" s="1480"/>
      <c r="Y52" s="1480"/>
      <c r="Z52" s="1480"/>
      <c r="AA52" s="1480"/>
      <c r="AB52" s="1480"/>
      <c r="AC52" s="1480"/>
      <c r="AD52" s="1480"/>
      <c r="AE52" s="1480"/>
      <c r="AF52" s="1480"/>
      <c r="AG52" s="1480"/>
      <c r="AH52" s="1480"/>
      <c r="AI52" s="1480"/>
      <c r="AJ52" s="1480"/>
      <c r="AK52" s="1480"/>
      <c r="AL52" s="1480"/>
      <c r="AM52" s="1480"/>
      <c r="AN52" s="1480"/>
      <c r="AO52" s="1480"/>
      <c r="AP52" s="1480"/>
      <c r="AQ52" s="1480"/>
      <c r="AR52" s="1480"/>
      <c r="AS52" s="1480"/>
      <c r="AT52" s="1480"/>
      <c r="AU52" s="20"/>
      <c r="AV52" s="20"/>
      <c r="AW52" s="20"/>
      <c r="AX52" s="20"/>
      <c r="AY52" s="20"/>
      <c r="AZ52" s="20"/>
      <c r="BD52" s="1182" t="s">
        <v>2475</v>
      </c>
      <c r="BE52" s="1183" t="str">
        <f>Application!M263</f>
        <v>David Rutledge</v>
      </c>
    </row>
    <row r="53" spans="1:57"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181" t="s">
        <v>2476</v>
      </c>
      <c r="BE53" s="1183">
        <f>Application!AA266</f>
        <v>0</v>
      </c>
    </row>
    <row r="54" spans="1:57" ht="12.95" customHeight="1">
      <c r="A54" s="1480" t="s">
        <v>2107</v>
      </c>
      <c r="B54" s="1480"/>
      <c r="C54" s="1480"/>
      <c r="D54" s="1480"/>
      <c r="E54" s="1480"/>
      <c r="F54" s="1480"/>
      <c r="G54" s="1480"/>
      <c r="H54" s="1480"/>
      <c r="I54" s="1480"/>
      <c r="J54" s="1480"/>
      <c r="K54" s="1480"/>
      <c r="L54" s="1480"/>
      <c r="M54" s="1480"/>
      <c r="N54" s="1480"/>
      <c r="O54" s="1480"/>
      <c r="P54" s="1480"/>
      <c r="Q54" s="1480"/>
      <c r="R54" s="1480"/>
      <c r="S54" s="1480"/>
      <c r="T54" s="1480"/>
      <c r="U54" s="1480"/>
      <c r="V54" s="1480"/>
      <c r="W54" s="1480"/>
      <c r="X54" s="1480"/>
      <c r="Y54" s="1480"/>
      <c r="Z54" s="1480"/>
      <c r="AA54" s="1480"/>
      <c r="AB54" s="1480"/>
      <c r="AC54" s="1480"/>
      <c r="AD54" s="1480"/>
      <c r="AE54" s="1480"/>
      <c r="AF54" s="1480"/>
      <c r="AG54" s="1480"/>
      <c r="AH54" s="1480"/>
      <c r="AI54" s="1480"/>
      <c r="AJ54" s="1480"/>
      <c r="AK54" s="1480"/>
      <c r="AL54" s="1480"/>
      <c r="AM54" s="1480"/>
      <c r="AN54" s="1480"/>
      <c r="AO54" s="1480"/>
      <c r="AP54" s="1480"/>
      <c r="AQ54" s="1480"/>
      <c r="AR54" s="1480"/>
      <c r="AS54" s="1480"/>
      <c r="AT54" s="1480"/>
      <c r="AU54" s="20"/>
      <c r="AV54" s="20"/>
      <c r="AW54" s="20"/>
      <c r="AX54" s="20"/>
      <c r="AY54" s="20"/>
      <c r="AZ54" s="21"/>
      <c r="BD54" s="1182" t="s">
        <v>2477</v>
      </c>
      <c r="BE54" s="1183">
        <f>Application!M268</f>
        <v>0</v>
      </c>
    </row>
    <row r="55" spans="1:57" ht="12.95" customHeight="1">
      <c r="A55" s="1480"/>
      <c r="B55" s="1480"/>
      <c r="C55" s="1480"/>
      <c r="D55" s="1480"/>
      <c r="E55" s="1480"/>
      <c r="F55" s="1480"/>
      <c r="G55" s="1480"/>
      <c r="H55" s="1480"/>
      <c r="I55" s="1480"/>
      <c r="J55" s="1480"/>
      <c r="K55" s="1480"/>
      <c r="L55" s="1480"/>
      <c r="M55" s="1480"/>
      <c r="N55" s="1480"/>
      <c r="O55" s="1480"/>
      <c r="P55" s="1480"/>
      <c r="Q55" s="1480"/>
      <c r="R55" s="1480"/>
      <c r="S55" s="1480"/>
      <c r="T55" s="1480"/>
      <c r="U55" s="1480"/>
      <c r="V55" s="1480"/>
      <c r="W55" s="1480"/>
      <c r="X55" s="1480"/>
      <c r="Y55" s="1480"/>
      <c r="Z55" s="1480"/>
      <c r="AA55" s="1480"/>
      <c r="AB55" s="1480"/>
      <c r="AC55" s="1480"/>
      <c r="AD55" s="1480"/>
      <c r="AE55" s="1480"/>
      <c r="AF55" s="1480"/>
      <c r="AG55" s="1480"/>
      <c r="AH55" s="1480"/>
      <c r="AI55" s="1480"/>
      <c r="AJ55" s="1480"/>
      <c r="AK55" s="1480"/>
      <c r="AL55" s="1480"/>
      <c r="AM55" s="1480"/>
      <c r="AN55" s="1480"/>
      <c r="AO55" s="1480"/>
      <c r="AP55" s="1480"/>
      <c r="AQ55" s="1480"/>
      <c r="AR55" s="1480"/>
      <c r="AS55" s="1480"/>
      <c r="AT55" s="1480"/>
      <c r="AZ55" s="21"/>
      <c r="BD55" s="1181" t="s">
        <v>2478</v>
      </c>
      <c r="BE55" s="1183">
        <f>Application!M271</f>
        <v>0</v>
      </c>
    </row>
    <row r="56" spans="1:57" ht="12.95" customHeight="1">
      <c r="A56" s="1480"/>
      <c r="B56" s="1480"/>
      <c r="C56" s="1480"/>
      <c r="D56" s="1480"/>
      <c r="E56" s="1480"/>
      <c r="F56" s="1480"/>
      <c r="G56" s="1480"/>
      <c r="H56" s="1480"/>
      <c r="I56" s="1480"/>
      <c r="J56" s="1480"/>
      <c r="K56" s="1480"/>
      <c r="L56" s="1480"/>
      <c r="M56" s="1480"/>
      <c r="N56" s="1480"/>
      <c r="O56" s="1480"/>
      <c r="P56" s="1480"/>
      <c r="Q56" s="1480"/>
      <c r="R56" s="1480"/>
      <c r="S56" s="1480"/>
      <c r="T56" s="1480"/>
      <c r="U56" s="1480"/>
      <c r="V56" s="1480"/>
      <c r="W56" s="1480"/>
      <c r="X56" s="1480"/>
      <c r="Y56" s="1480"/>
      <c r="Z56" s="1480"/>
      <c r="AA56" s="1480"/>
      <c r="AB56" s="1480"/>
      <c r="AC56" s="1480"/>
      <c r="AD56" s="1480"/>
      <c r="AE56" s="1480"/>
      <c r="AF56" s="1480"/>
      <c r="AG56" s="1480"/>
      <c r="AH56" s="1480"/>
      <c r="AI56" s="1480"/>
      <c r="AJ56" s="1480"/>
      <c r="AK56" s="1480"/>
      <c r="AL56" s="1480"/>
      <c r="AM56" s="1480"/>
      <c r="AN56" s="1480"/>
      <c r="AO56" s="1480"/>
      <c r="AP56" s="1480"/>
      <c r="AQ56" s="1480"/>
      <c r="AR56" s="1480"/>
      <c r="AS56" s="1480"/>
      <c r="AT56" s="1480"/>
      <c r="BD56" s="1182" t="s">
        <v>2479</v>
      </c>
      <c r="BE56" s="1183">
        <f>Application!AA274</f>
        <v>0</v>
      </c>
    </row>
    <row r="57" spans="1:57" ht="12.95" customHeight="1">
      <c r="A57" s="1480"/>
      <c r="B57" s="1480"/>
      <c r="C57" s="1480"/>
      <c r="D57" s="1480"/>
      <c r="E57" s="1480"/>
      <c r="F57" s="1480"/>
      <c r="G57" s="1480"/>
      <c r="H57" s="1480"/>
      <c r="I57" s="1480"/>
      <c r="J57" s="1480"/>
      <c r="K57" s="1480"/>
      <c r="L57" s="1480"/>
      <c r="M57" s="1480"/>
      <c r="N57" s="1480"/>
      <c r="O57" s="1480"/>
      <c r="P57" s="1480"/>
      <c r="Q57" s="1480"/>
      <c r="R57" s="1480"/>
      <c r="S57" s="1480"/>
      <c r="T57" s="1480"/>
      <c r="U57" s="1480"/>
      <c r="V57" s="1480"/>
      <c r="W57" s="1480"/>
      <c r="X57" s="1480"/>
      <c r="Y57" s="1480"/>
      <c r="Z57" s="1480"/>
      <c r="AA57" s="1480"/>
      <c r="AB57" s="1480"/>
      <c r="AC57" s="1480"/>
      <c r="AD57" s="1480"/>
      <c r="AE57" s="1480"/>
      <c r="AF57" s="1480"/>
      <c r="AG57" s="1480"/>
      <c r="AH57" s="1480"/>
      <c r="AI57" s="1480"/>
      <c r="AJ57" s="1480"/>
      <c r="AK57" s="1480"/>
      <c r="AL57" s="1480"/>
      <c r="AM57" s="1480"/>
      <c r="AN57" s="1480"/>
      <c r="AO57" s="1480"/>
      <c r="AP57" s="1480"/>
      <c r="AQ57" s="1480"/>
      <c r="AR57" s="1480"/>
      <c r="AS57" s="1480"/>
      <c r="AT57" s="1480"/>
      <c r="BD57" s="1181" t="s">
        <v>2480</v>
      </c>
      <c r="BE57" s="1183" t="str">
        <f>Application!H296</f>
        <v>Danco Communities</v>
      </c>
    </row>
    <row r="58" spans="1:57" ht="12.95" customHeight="1">
      <c r="A58" s="1480"/>
      <c r="B58" s="1480"/>
      <c r="C58" s="1480"/>
      <c r="D58" s="1480"/>
      <c r="E58" s="1480"/>
      <c r="F58" s="1480"/>
      <c r="G58" s="1480"/>
      <c r="H58" s="1480"/>
      <c r="I58" s="1480"/>
      <c r="J58" s="1480"/>
      <c r="K58" s="1480"/>
      <c r="L58" s="1480"/>
      <c r="M58" s="1480"/>
      <c r="N58" s="1480"/>
      <c r="O58" s="1480"/>
      <c r="P58" s="1480"/>
      <c r="Q58" s="1480"/>
      <c r="R58" s="1480"/>
      <c r="S58" s="1480"/>
      <c r="T58" s="1480"/>
      <c r="U58" s="1480"/>
      <c r="V58" s="1480"/>
      <c r="W58" s="1480"/>
      <c r="X58" s="1480"/>
      <c r="Y58" s="1480"/>
      <c r="Z58" s="1480"/>
      <c r="AA58" s="1480"/>
      <c r="AB58" s="1480"/>
      <c r="AC58" s="1480"/>
      <c r="AD58" s="1480"/>
      <c r="AE58" s="1480"/>
      <c r="AF58" s="1480"/>
      <c r="AG58" s="1480"/>
      <c r="AH58" s="1480"/>
      <c r="AI58" s="1480"/>
      <c r="AJ58" s="1480"/>
      <c r="AK58" s="1480"/>
      <c r="AL58" s="1480"/>
      <c r="AM58" s="1480"/>
      <c r="AN58" s="1480"/>
      <c r="AO58" s="1480"/>
      <c r="AP58" s="1480"/>
      <c r="AQ58" s="1480"/>
      <c r="AR58" s="1480"/>
      <c r="AS58" s="1480"/>
      <c r="AT58" s="1480"/>
      <c r="BD58" s="1182" t="s">
        <v>2481</v>
      </c>
      <c r="BE58" s="1183" t="str">
        <f>Application!H297</f>
        <v>5251 Ericson Way, Suite A</v>
      </c>
    </row>
    <row r="59" spans="1:57" ht="12.95" customHeight="1">
      <c r="A59" s="519"/>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181" t="s">
        <v>2482</v>
      </c>
      <c r="BE59" s="1183" t="str">
        <f>Application!H298</f>
        <v>Arcata, CA 95521</v>
      </c>
    </row>
    <row r="60" spans="1:57" ht="12.95" customHeight="1">
      <c r="A60" s="1480" t="s">
        <v>2108</v>
      </c>
      <c r="B60" s="1480"/>
      <c r="C60" s="1480"/>
      <c r="D60" s="1480"/>
      <c r="E60" s="1480"/>
      <c r="F60" s="1480"/>
      <c r="G60" s="1480"/>
      <c r="H60" s="1480"/>
      <c r="I60" s="1480"/>
      <c r="J60" s="1480"/>
      <c r="K60" s="1480"/>
      <c r="L60" s="1480"/>
      <c r="M60" s="1480"/>
      <c r="N60" s="1480"/>
      <c r="O60" s="1480"/>
      <c r="P60" s="1480"/>
      <c r="Q60" s="1480"/>
      <c r="R60" s="1480"/>
      <c r="S60" s="1480"/>
      <c r="T60" s="1480"/>
      <c r="U60" s="1480"/>
      <c r="V60" s="1480"/>
      <c r="W60" s="1480"/>
      <c r="X60" s="1480"/>
      <c r="Y60" s="1480"/>
      <c r="Z60" s="1480"/>
      <c r="AA60" s="1480"/>
      <c r="AB60" s="1480"/>
      <c r="AC60" s="1480"/>
      <c r="AD60" s="1480"/>
      <c r="AE60" s="1480"/>
      <c r="AF60" s="1480"/>
      <c r="AG60" s="1480"/>
      <c r="AH60" s="1480"/>
      <c r="AI60" s="1480"/>
      <c r="AJ60" s="1480"/>
      <c r="AK60" s="1480"/>
      <c r="AL60" s="1480"/>
      <c r="AM60" s="1480"/>
      <c r="AN60" s="1480"/>
      <c r="AO60" s="1480"/>
      <c r="AP60" s="1480"/>
      <c r="AQ60" s="1480"/>
      <c r="AR60" s="1480"/>
      <c r="AS60" s="1480"/>
      <c r="AT60" s="1480"/>
      <c r="AU60" s="20"/>
      <c r="AV60" s="20"/>
      <c r="AW60" s="20"/>
      <c r="AX60" s="20"/>
      <c r="AY60" s="20"/>
      <c r="AZ60" s="20"/>
      <c r="BD60" s="1182" t="s">
        <v>2483</v>
      </c>
      <c r="BE60" s="1183" t="str">
        <f>Application!H299</f>
        <v>Chris Dart</v>
      </c>
    </row>
    <row r="61" spans="1:57" ht="12.95" customHeight="1">
      <c r="A61" s="1480"/>
      <c r="B61" s="1480"/>
      <c r="C61" s="1480"/>
      <c r="D61" s="1480"/>
      <c r="E61" s="1480"/>
      <c r="F61" s="1480"/>
      <c r="G61" s="1480"/>
      <c r="H61" s="1480"/>
      <c r="I61" s="1480"/>
      <c r="J61" s="1480"/>
      <c r="K61" s="1480"/>
      <c r="L61" s="1480"/>
      <c r="M61" s="1480"/>
      <c r="N61" s="1480"/>
      <c r="O61" s="1480"/>
      <c r="P61" s="1480"/>
      <c r="Q61" s="1480"/>
      <c r="R61" s="1480"/>
      <c r="S61" s="1480"/>
      <c r="T61" s="1480"/>
      <c r="U61" s="1480"/>
      <c r="V61" s="1480"/>
      <c r="W61" s="1480"/>
      <c r="X61" s="1480"/>
      <c r="Y61" s="1480"/>
      <c r="Z61" s="1480"/>
      <c r="AA61" s="1480"/>
      <c r="AB61" s="1480"/>
      <c r="AC61" s="1480"/>
      <c r="AD61" s="1480"/>
      <c r="AE61" s="1480"/>
      <c r="AF61" s="1480"/>
      <c r="AG61" s="1480"/>
      <c r="AH61" s="1480"/>
      <c r="AI61" s="1480"/>
      <c r="AJ61" s="1480"/>
      <c r="AK61" s="1480"/>
      <c r="AL61" s="1480"/>
      <c r="AM61" s="1480"/>
      <c r="AN61" s="1480"/>
      <c r="AO61" s="1480"/>
      <c r="AP61" s="1480"/>
      <c r="AQ61" s="1480"/>
      <c r="AR61" s="1480"/>
      <c r="AS61" s="1480"/>
      <c r="AT61" s="1480"/>
      <c r="AU61" s="20"/>
      <c r="AV61" s="20"/>
      <c r="AW61" s="20"/>
      <c r="AX61" s="20"/>
      <c r="AY61" s="20"/>
      <c r="AZ61" s="20"/>
      <c r="BD61" s="1181" t="s">
        <v>2484</v>
      </c>
      <c r="BE61" s="1183" t="str">
        <f>Application!H302</f>
        <v>cdart@danco-group.com</v>
      </c>
    </row>
    <row r="62" spans="1:57" ht="12.95" customHeight="1">
      <c r="A62" s="519"/>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182" t="s">
        <v>2485</v>
      </c>
      <c r="BE62" s="1186">
        <f>'Basis &amp; Credits'!AB50</f>
        <v>0.84000050000000004</v>
      </c>
    </row>
    <row r="63" spans="1:57" ht="12.95" customHeight="1">
      <c r="A63" s="91" t="s">
        <v>2109</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181" t="s">
        <v>1250</v>
      </c>
      <c r="BE63" s="1186">
        <f>'Basis &amp; Credits'!AB72</f>
        <v>0.84</v>
      </c>
    </row>
    <row r="64" spans="1:57"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182" t="s">
        <v>2486</v>
      </c>
      <c r="BE64" s="1183" t="b">
        <f>Application!X180="Yes"</f>
        <v>0</v>
      </c>
    </row>
    <row r="65" spans="1:57" ht="12.95" customHeight="1">
      <c r="A65" s="1442" t="s">
        <v>2110</v>
      </c>
      <c r="B65" s="1442"/>
      <c r="C65" s="1442"/>
      <c r="D65" s="1442"/>
      <c r="E65" s="1442"/>
      <c r="F65" s="1442"/>
      <c r="G65" s="1442"/>
      <c r="H65" s="1442"/>
      <c r="I65" s="1442"/>
      <c r="J65" s="1442"/>
      <c r="K65" s="1442"/>
      <c r="L65" s="1442"/>
      <c r="M65" s="1442"/>
      <c r="N65" s="1442"/>
      <c r="O65" s="1442"/>
      <c r="P65" s="1442"/>
      <c r="Q65" s="1442"/>
      <c r="R65" s="1442"/>
      <c r="S65" s="1442"/>
      <c r="T65" s="1442"/>
      <c r="U65" s="1442"/>
      <c r="V65" s="1442"/>
      <c r="W65" s="1442"/>
      <c r="X65" s="1442"/>
      <c r="Y65" s="1442"/>
      <c r="Z65" s="1442"/>
      <c r="AA65" s="1442"/>
      <c r="AB65" s="1442"/>
      <c r="AC65" s="1442"/>
      <c r="AD65" s="1442"/>
      <c r="AE65" s="1442"/>
      <c r="AF65" s="1442"/>
      <c r="AG65" s="1442"/>
      <c r="AH65" s="1442"/>
      <c r="AI65" s="1442"/>
      <c r="AJ65" s="1442"/>
      <c r="AK65" s="1442"/>
      <c r="AL65" s="1442"/>
      <c r="AM65" s="1442"/>
      <c r="AN65" s="1442"/>
      <c r="AO65" s="1442"/>
      <c r="AP65" s="1442"/>
      <c r="AQ65" s="1442"/>
      <c r="AR65" s="1442"/>
      <c r="AS65" s="1442"/>
      <c r="AT65" s="1442"/>
      <c r="AU65" s="21"/>
      <c r="AV65" s="21"/>
      <c r="AW65" s="21"/>
      <c r="AX65" s="21"/>
      <c r="AY65" s="21"/>
      <c r="AZ65" s="20"/>
      <c r="BD65" s="1181" t="s">
        <v>2520</v>
      </c>
      <c r="BE65" s="1183" t="str">
        <f>Z205</f>
        <v>$500M</v>
      </c>
    </row>
    <row r="66" spans="1:57" ht="12.95" customHeight="1">
      <c r="A66" s="1442"/>
      <c r="B66" s="1442"/>
      <c r="C66" s="1442"/>
      <c r="D66" s="1442"/>
      <c r="E66" s="1442"/>
      <c r="F66" s="1442"/>
      <c r="G66" s="1442"/>
      <c r="H66" s="1442"/>
      <c r="I66" s="1442"/>
      <c r="J66" s="1442"/>
      <c r="K66" s="1442"/>
      <c r="L66" s="1442"/>
      <c r="M66" s="1442"/>
      <c r="N66" s="1442"/>
      <c r="O66" s="1442"/>
      <c r="P66" s="1442"/>
      <c r="Q66" s="1442"/>
      <c r="R66" s="1442"/>
      <c r="S66" s="1442"/>
      <c r="T66" s="1442"/>
      <c r="U66" s="1442"/>
      <c r="V66" s="1442"/>
      <c r="W66" s="1442"/>
      <c r="X66" s="1442"/>
      <c r="Y66" s="1442"/>
      <c r="Z66" s="1442"/>
      <c r="AA66" s="1442"/>
      <c r="AB66" s="1442"/>
      <c r="AC66" s="1442"/>
      <c r="AD66" s="1442"/>
      <c r="AE66" s="1442"/>
      <c r="AF66" s="1442"/>
      <c r="AG66" s="1442"/>
      <c r="AH66" s="1442"/>
      <c r="AI66" s="1442"/>
      <c r="AJ66" s="1442"/>
      <c r="AK66" s="1442"/>
      <c r="AL66" s="1442"/>
      <c r="AM66" s="1442"/>
      <c r="AN66" s="1442"/>
      <c r="AO66" s="1442"/>
      <c r="AP66" s="1442"/>
      <c r="AQ66" s="1442"/>
      <c r="AR66" s="1442"/>
      <c r="AS66" s="1442"/>
      <c r="AT66" s="1442"/>
      <c r="AU66" s="21"/>
      <c r="AV66" s="21"/>
      <c r="AW66" s="21"/>
      <c r="AX66" s="21"/>
      <c r="AY66" s="21"/>
      <c r="AZ66" s="20"/>
      <c r="BD66" s="1182" t="s">
        <v>2487</v>
      </c>
      <c r="BE66" s="1183" t="b">
        <f>Application!Z205="State Farmworker Credit"</f>
        <v>0</v>
      </c>
    </row>
    <row r="67" spans="1:57" ht="12.95" customHeight="1">
      <c r="A67" s="1442"/>
      <c r="B67" s="1442"/>
      <c r="C67" s="1442"/>
      <c r="D67" s="1442"/>
      <c r="E67" s="1442"/>
      <c r="F67" s="1442"/>
      <c r="G67" s="1442"/>
      <c r="H67" s="1442"/>
      <c r="I67" s="1442"/>
      <c r="J67" s="1442"/>
      <c r="K67" s="1442"/>
      <c r="L67" s="1442"/>
      <c r="M67" s="1442"/>
      <c r="N67" s="1442"/>
      <c r="O67" s="1442"/>
      <c r="P67" s="1442"/>
      <c r="Q67" s="1442"/>
      <c r="R67" s="1442"/>
      <c r="S67" s="1442"/>
      <c r="T67" s="1442"/>
      <c r="U67" s="1442"/>
      <c r="V67" s="1442"/>
      <c r="W67" s="1442"/>
      <c r="X67" s="1442"/>
      <c r="Y67" s="1442"/>
      <c r="Z67" s="1442"/>
      <c r="AA67" s="1442"/>
      <c r="AB67" s="1442"/>
      <c r="AC67" s="1442"/>
      <c r="AD67" s="1442"/>
      <c r="AE67" s="1442"/>
      <c r="AF67" s="1442"/>
      <c r="AG67" s="1442"/>
      <c r="AH67" s="1442"/>
      <c r="AI67" s="1442"/>
      <c r="AJ67" s="1442"/>
      <c r="AK67" s="1442"/>
      <c r="AL67" s="1442"/>
      <c r="AM67" s="1442"/>
      <c r="AN67" s="1442"/>
      <c r="AO67" s="1442"/>
      <c r="AP67" s="1442"/>
      <c r="AQ67" s="1442"/>
      <c r="AR67" s="1442"/>
      <c r="AS67" s="1442"/>
      <c r="AT67" s="1442"/>
      <c r="AZ67" s="20"/>
      <c r="BD67" s="1181" t="s">
        <v>2488</v>
      </c>
      <c r="BE67" s="1183" t="b">
        <f>Application!O33="Yes"</f>
        <v>0</v>
      </c>
    </row>
    <row r="68" spans="1:57" ht="12.95"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182" t="s">
        <v>2489</v>
      </c>
      <c r="BE68" s="1183">
        <f>'Sources and Uses Budget'!D105</f>
        <v>0</v>
      </c>
    </row>
    <row r="69" spans="1:57" ht="12.95" customHeight="1">
      <c r="A69" s="1442" t="s">
        <v>2111</v>
      </c>
      <c r="B69" s="1442"/>
      <c r="C69" s="1442"/>
      <c r="D69" s="1442"/>
      <c r="E69" s="1442"/>
      <c r="F69" s="1442"/>
      <c r="G69" s="1442"/>
      <c r="H69" s="1442"/>
      <c r="I69" s="1442"/>
      <c r="J69" s="1442"/>
      <c r="K69" s="1442"/>
      <c r="L69" s="1442"/>
      <c r="M69" s="1442"/>
      <c r="N69" s="1442"/>
      <c r="O69" s="1442"/>
      <c r="P69" s="1442"/>
      <c r="Q69" s="1442"/>
      <c r="R69" s="1442"/>
      <c r="S69" s="1442"/>
      <c r="T69" s="1442"/>
      <c r="U69" s="1442"/>
      <c r="V69" s="1442"/>
      <c r="W69" s="1442"/>
      <c r="X69" s="1442"/>
      <c r="Y69" s="1442"/>
      <c r="Z69" s="1442"/>
      <c r="AA69" s="1442"/>
      <c r="AB69" s="1442"/>
      <c r="AC69" s="1442"/>
      <c r="AD69" s="1442"/>
      <c r="AE69" s="1442"/>
      <c r="AF69" s="1442"/>
      <c r="AG69" s="1442"/>
      <c r="AH69" s="1442"/>
      <c r="AI69" s="1442"/>
      <c r="AJ69" s="1442"/>
      <c r="AK69" s="1442"/>
      <c r="AL69" s="1442"/>
      <c r="AM69" s="1442"/>
      <c r="AN69" s="1442"/>
      <c r="AO69" s="1442"/>
      <c r="AP69" s="1442"/>
      <c r="AQ69" s="1442"/>
      <c r="AR69" s="1442"/>
      <c r="AS69" s="1442"/>
      <c r="AT69" s="1442"/>
      <c r="AZ69" s="20"/>
      <c r="BD69" s="1181" t="s">
        <v>2490</v>
      </c>
      <c r="BE69" s="1183" t="str">
        <f>Application!W708</f>
        <v>CMFA</v>
      </c>
    </row>
    <row r="70" spans="1:57" ht="12.95" customHeight="1">
      <c r="A70" s="1442"/>
      <c r="B70" s="1442"/>
      <c r="C70" s="1442"/>
      <c r="D70" s="1442"/>
      <c r="E70" s="1442"/>
      <c r="F70" s="1442"/>
      <c r="G70" s="1442"/>
      <c r="H70" s="1442"/>
      <c r="I70" s="1442"/>
      <c r="J70" s="1442"/>
      <c r="K70" s="1442"/>
      <c r="L70" s="1442"/>
      <c r="M70" s="1442"/>
      <c r="N70" s="1442"/>
      <c r="O70" s="1442"/>
      <c r="P70" s="1442"/>
      <c r="Q70" s="1442"/>
      <c r="R70" s="1442"/>
      <c r="S70" s="1442"/>
      <c r="T70" s="1442"/>
      <c r="U70" s="1442"/>
      <c r="V70" s="1442"/>
      <c r="W70" s="1442"/>
      <c r="X70" s="1442"/>
      <c r="Y70" s="1442"/>
      <c r="Z70" s="1442"/>
      <c r="AA70" s="1442"/>
      <c r="AB70" s="1442"/>
      <c r="AC70" s="1442"/>
      <c r="AD70" s="1442"/>
      <c r="AE70" s="1442"/>
      <c r="AF70" s="1442"/>
      <c r="AG70" s="1442"/>
      <c r="AH70" s="1442"/>
      <c r="AI70" s="1442"/>
      <c r="AJ70" s="1442"/>
      <c r="AK70" s="1442"/>
      <c r="AL70" s="1442"/>
      <c r="AM70" s="1442"/>
      <c r="AN70" s="1442"/>
      <c r="AO70" s="1442"/>
      <c r="AP70" s="1442"/>
      <c r="AQ70" s="1442"/>
      <c r="AR70" s="1442"/>
      <c r="AS70" s="1442"/>
      <c r="AT70" s="1442"/>
      <c r="AU70" s="20"/>
      <c r="AV70" s="20"/>
      <c r="AW70" s="20"/>
      <c r="AX70" s="20"/>
      <c r="AY70" s="20"/>
      <c r="AZ70" s="20"/>
      <c r="BD70" s="1182" t="s">
        <v>2491</v>
      </c>
      <c r="BE70" s="1183">
        <f ca="1">'Points System'!AF843</f>
        <v>111</v>
      </c>
    </row>
    <row r="71" spans="1:57" ht="12.95" customHeight="1">
      <c r="A71" s="519"/>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181" t="s">
        <v>2612</v>
      </c>
      <c r="BE71" s="1183">
        <f>'Points System'!AF826</f>
        <v>0</v>
      </c>
    </row>
    <row r="72" spans="1:57" ht="12.95" customHeight="1">
      <c r="A72" s="1458" t="s">
        <v>2112</v>
      </c>
      <c r="B72" s="1458"/>
      <c r="C72" s="1458"/>
      <c r="D72" s="1458"/>
      <c r="E72" s="1458"/>
      <c r="F72" s="1458"/>
      <c r="G72" s="1458"/>
      <c r="H72" s="1458"/>
      <c r="I72" s="1458"/>
      <c r="J72" s="1458"/>
      <c r="K72" s="1458"/>
      <c r="L72" s="1458"/>
      <c r="M72" s="1458"/>
      <c r="N72" s="1458"/>
      <c r="O72" s="1458"/>
      <c r="P72" s="1458"/>
      <c r="Q72" s="1458"/>
      <c r="R72" s="1458"/>
      <c r="S72" s="1458"/>
      <c r="T72" s="1458"/>
      <c r="U72" s="1458"/>
      <c r="V72" s="1458"/>
      <c r="W72" s="1458"/>
      <c r="X72" s="1458"/>
      <c r="Y72" s="1458"/>
      <c r="Z72" s="1458"/>
      <c r="AA72" s="1458"/>
      <c r="AB72" s="1458"/>
      <c r="AC72" s="1458"/>
      <c r="AD72" s="1458"/>
      <c r="AE72" s="1458"/>
      <c r="AF72" s="1458"/>
      <c r="AG72" s="1458"/>
      <c r="AH72" s="1458"/>
      <c r="AI72" s="1458"/>
      <c r="AJ72" s="1458"/>
      <c r="AK72" s="1458"/>
      <c r="AL72" s="1458"/>
      <c r="AM72" s="1458"/>
      <c r="AN72" s="1458"/>
      <c r="AO72" s="1458"/>
      <c r="AP72" s="1458"/>
      <c r="AQ72" s="1458"/>
      <c r="AR72" s="1458"/>
      <c r="AS72" s="1458"/>
      <c r="AT72" s="1458"/>
      <c r="AU72" s="20"/>
      <c r="AV72" s="20"/>
      <c r="AW72" s="20"/>
      <c r="AX72" s="20"/>
      <c r="AY72" s="20"/>
      <c r="AZ72" s="20"/>
      <c r="BD72" s="1182" t="s">
        <v>2492</v>
      </c>
      <c r="BE72" s="1183">
        <f>'Points System'!AF827</f>
        <v>10</v>
      </c>
    </row>
    <row r="73" spans="1:57" ht="12.95" customHeight="1">
      <c r="A73" s="1458"/>
      <c r="B73" s="1458"/>
      <c r="C73" s="1458"/>
      <c r="D73" s="1458"/>
      <c r="E73" s="1458"/>
      <c r="F73" s="1458"/>
      <c r="G73" s="1458"/>
      <c r="H73" s="1458"/>
      <c r="I73" s="1458"/>
      <c r="J73" s="1458"/>
      <c r="K73" s="1458"/>
      <c r="L73" s="1458"/>
      <c r="M73" s="1458"/>
      <c r="N73" s="1458"/>
      <c r="O73" s="1458"/>
      <c r="P73" s="1458"/>
      <c r="Q73" s="1458"/>
      <c r="R73" s="1458"/>
      <c r="S73" s="1458"/>
      <c r="T73" s="1458"/>
      <c r="U73" s="1458"/>
      <c r="V73" s="1458"/>
      <c r="W73" s="1458"/>
      <c r="X73" s="1458"/>
      <c r="Y73" s="1458"/>
      <c r="Z73" s="1458"/>
      <c r="AA73" s="1458"/>
      <c r="AB73" s="1458"/>
      <c r="AC73" s="1458"/>
      <c r="AD73" s="1458"/>
      <c r="AE73" s="1458"/>
      <c r="AF73" s="1458"/>
      <c r="AG73" s="1458"/>
      <c r="AH73" s="1458"/>
      <c r="AI73" s="1458"/>
      <c r="AJ73" s="1458"/>
      <c r="AK73" s="1458"/>
      <c r="AL73" s="1458"/>
      <c r="AM73" s="1458"/>
      <c r="AN73" s="1458"/>
      <c r="AO73" s="1458"/>
      <c r="AP73" s="1458"/>
      <c r="AQ73" s="1458"/>
      <c r="AR73" s="1458"/>
      <c r="AS73" s="1458"/>
      <c r="AT73" s="1458"/>
      <c r="AU73" s="20"/>
      <c r="AV73" s="20"/>
      <c r="AW73" s="20"/>
      <c r="AX73" s="20"/>
      <c r="AY73" s="20"/>
      <c r="AZ73" s="20"/>
      <c r="BD73" s="1181" t="s">
        <v>2493</v>
      </c>
      <c r="BE73" s="1183">
        <f ca="1">'Points System'!AF828</f>
        <v>20</v>
      </c>
    </row>
    <row r="74" spans="1:57" ht="12.9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182" t="s">
        <v>2494</v>
      </c>
      <c r="BE74" s="1183">
        <f>'Points System'!AF829</f>
        <v>10</v>
      </c>
    </row>
    <row r="75" spans="1:57" ht="12.95" customHeight="1">
      <c r="A75" s="1472" t="s">
        <v>2113</v>
      </c>
      <c r="B75" s="1472"/>
      <c r="C75" s="1472"/>
      <c r="D75" s="1472"/>
      <c r="E75" s="1472"/>
      <c r="F75" s="1472"/>
      <c r="G75" s="1472"/>
      <c r="H75" s="1472"/>
      <c r="I75" s="1472"/>
      <c r="J75" s="1472"/>
      <c r="K75" s="1472"/>
      <c r="L75" s="1472"/>
      <c r="M75" s="1472"/>
      <c r="N75" s="1472"/>
      <c r="O75" s="1472"/>
      <c r="P75" s="1472"/>
      <c r="Q75" s="1472"/>
      <c r="R75" s="1472"/>
      <c r="S75" s="1472"/>
      <c r="T75" s="1472"/>
      <c r="U75" s="1472"/>
      <c r="V75" s="1472"/>
      <c r="W75" s="1472"/>
      <c r="X75" s="1472"/>
      <c r="Y75" s="1472"/>
      <c r="Z75" s="1472"/>
      <c r="AA75" s="1472"/>
      <c r="AB75" s="1472"/>
      <c r="AC75" s="1472"/>
      <c r="AD75" s="1472"/>
      <c r="AE75" s="1472"/>
      <c r="AF75" s="1472"/>
      <c r="AG75" s="1472"/>
      <c r="AH75" s="1472"/>
      <c r="AI75" s="1472"/>
      <c r="AJ75" s="1472"/>
      <c r="AK75" s="1472"/>
      <c r="AL75" s="1472"/>
      <c r="AM75" s="1472"/>
      <c r="AN75" s="1472"/>
      <c r="AO75" s="1472"/>
      <c r="AP75" s="1472"/>
      <c r="AQ75" s="1472"/>
      <c r="AR75" s="1472"/>
      <c r="AS75" s="1472"/>
      <c r="AT75" s="1472"/>
      <c r="AU75" s="20"/>
      <c r="AV75" s="20"/>
      <c r="AW75" s="20"/>
      <c r="AX75" s="20"/>
      <c r="AY75" s="20"/>
      <c r="AZ75" s="20"/>
      <c r="BD75" s="1181" t="s">
        <v>2495</v>
      </c>
      <c r="BE75" s="1183">
        <f>'Points System'!AF830</f>
        <v>10</v>
      </c>
    </row>
    <row r="76" spans="1:57" ht="12.95" customHeight="1">
      <c r="A76" s="1472"/>
      <c r="B76" s="1472"/>
      <c r="C76" s="1472"/>
      <c r="D76" s="1472"/>
      <c r="E76" s="1472"/>
      <c r="F76" s="1472"/>
      <c r="G76" s="1472"/>
      <c r="H76" s="1472"/>
      <c r="I76" s="1472"/>
      <c r="J76" s="1472"/>
      <c r="K76" s="1472"/>
      <c r="L76" s="1472"/>
      <c r="M76" s="1472"/>
      <c r="N76" s="1472"/>
      <c r="O76" s="1472"/>
      <c r="P76" s="1472"/>
      <c r="Q76" s="1472"/>
      <c r="R76" s="1472"/>
      <c r="S76" s="1472"/>
      <c r="T76" s="1472"/>
      <c r="U76" s="1472"/>
      <c r="V76" s="1472"/>
      <c r="W76" s="1472"/>
      <c r="X76" s="1472"/>
      <c r="Y76" s="1472"/>
      <c r="Z76" s="1472"/>
      <c r="AA76" s="1472"/>
      <c r="AB76" s="1472"/>
      <c r="AC76" s="1472"/>
      <c r="AD76" s="1472"/>
      <c r="AE76" s="1472"/>
      <c r="AF76" s="1472"/>
      <c r="AG76" s="1472"/>
      <c r="AH76" s="1472"/>
      <c r="AI76" s="1472"/>
      <c r="AJ76" s="1472"/>
      <c r="AK76" s="1472"/>
      <c r="AL76" s="1472"/>
      <c r="AM76" s="1472"/>
      <c r="AN76" s="1472"/>
      <c r="AO76" s="1472"/>
      <c r="AP76" s="1472"/>
      <c r="AQ76" s="1472"/>
      <c r="AR76" s="1472"/>
      <c r="AS76" s="1472"/>
      <c r="AT76" s="1472"/>
      <c r="AU76" s="20"/>
      <c r="AV76" s="20"/>
      <c r="AW76" s="20"/>
      <c r="AX76" s="20"/>
      <c r="AY76" s="20"/>
      <c r="AZ76" s="17"/>
      <c r="BD76" s="1182" t="s">
        <v>2496</v>
      </c>
      <c r="BE76" s="1183">
        <f>'Points System'!AF833</f>
        <v>10</v>
      </c>
    </row>
    <row r="77" spans="1:57" ht="12.95" customHeight="1">
      <c r="A77" s="1472"/>
      <c r="B77" s="1472"/>
      <c r="C77" s="1472"/>
      <c r="D77" s="1472"/>
      <c r="E77" s="1472"/>
      <c r="F77" s="1472"/>
      <c r="G77" s="1472"/>
      <c r="H77" s="1472"/>
      <c r="I77" s="1472"/>
      <c r="J77" s="1472"/>
      <c r="K77" s="1472"/>
      <c r="L77" s="1472"/>
      <c r="M77" s="1472"/>
      <c r="N77" s="1472"/>
      <c r="O77" s="1472"/>
      <c r="P77" s="1472"/>
      <c r="Q77" s="1472"/>
      <c r="R77" s="1472"/>
      <c r="S77" s="1472"/>
      <c r="T77" s="1472"/>
      <c r="U77" s="1472"/>
      <c r="V77" s="1472"/>
      <c r="W77" s="1472"/>
      <c r="X77" s="1472"/>
      <c r="Y77" s="1472"/>
      <c r="Z77" s="1472"/>
      <c r="AA77" s="1472"/>
      <c r="AB77" s="1472"/>
      <c r="AC77" s="1472"/>
      <c r="AD77" s="1472"/>
      <c r="AE77" s="1472"/>
      <c r="AF77" s="1472"/>
      <c r="AG77" s="1472"/>
      <c r="AH77" s="1472"/>
      <c r="AI77" s="1472"/>
      <c r="AJ77" s="1472"/>
      <c r="AK77" s="1472"/>
      <c r="AL77" s="1472"/>
      <c r="AM77" s="1472"/>
      <c r="AN77" s="1472"/>
      <c r="AO77" s="1472"/>
      <c r="AP77" s="1472"/>
      <c r="AQ77" s="1472"/>
      <c r="AR77" s="1472"/>
      <c r="AS77" s="1472"/>
      <c r="AT77" s="1472"/>
      <c r="AU77" s="20"/>
      <c r="AV77" s="20"/>
      <c r="AW77" s="20"/>
      <c r="AX77" s="20"/>
      <c r="AY77" s="20"/>
      <c r="AZ77" s="17"/>
      <c r="BD77" s="1181" t="s">
        <v>2497</v>
      </c>
      <c r="BE77" s="1183">
        <f>'Points System'!AF834</f>
        <v>0</v>
      </c>
    </row>
    <row r="78" spans="1:57"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182" t="s">
        <v>2498</v>
      </c>
      <c r="BE78" s="1183">
        <f>'Points System'!AF836</f>
        <v>10</v>
      </c>
    </row>
    <row r="79" spans="1:57" ht="12.95" customHeight="1">
      <c r="A79" s="1442" t="s">
        <v>2114</v>
      </c>
      <c r="B79" s="1442"/>
      <c r="C79" s="1442"/>
      <c r="D79" s="1442"/>
      <c r="E79" s="1442"/>
      <c r="F79" s="1442"/>
      <c r="G79" s="1442"/>
      <c r="H79" s="1442"/>
      <c r="I79" s="1442"/>
      <c r="J79" s="1442"/>
      <c r="K79" s="1442"/>
      <c r="L79" s="1442"/>
      <c r="M79" s="1442"/>
      <c r="N79" s="1442"/>
      <c r="O79" s="1442"/>
      <c r="P79" s="1442"/>
      <c r="Q79" s="1442"/>
      <c r="R79" s="1442"/>
      <c r="S79" s="1442"/>
      <c r="T79" s="1442"/>
      <c r="U79" s="1442"/>
      <c r="V79" s="1442"/>
      <c r="W79" s="1442"/>
      <c r="X79" s="1442"/>
      <c r="Y79" s="1442"/>
      <c r="Z79" s="1442"/>
      <c r="AA79" s="1442"/>
      <c r="AB79" s="1442"/>
      <c r="AC79" s="1442"/>
      <c r="AD79" s="1442"/>
      <c r="AE79" s="1442"/>
      <c r="AF79" s="1442"/>
      <c r="AG79" s="1442"/>
      <c r="AH79" s="1442"/>
      <c r="AI79" s="1442"/>
      <c r="AJ79" s="1442"/>
      <c r="AK79" s="1442"/>
      <c r="AL79" s="1442"/>
      <c r="AM79" s="1442"/>
      <c r="AN79" s="1442"/>
      <c r="AO79" s="1442"/>
      <c r="AP79" s="1442"/>
      <c r="AQ79" s="1442"/>
      <c r="AR79" s="1442"/>
      <c r="AS79" s="1442"/>
      <c r="AT79" s="1442"/>
      <c r="AU79" s="20"/>
      <c r="AV79" s="20"/>
      <c r="AW79" s="20"/>
      <c r="AX79" s="20"/>
      <c r="AY79" s="20"/>
      <c r="AZ79" s="20"/>
      <c r="BD79" s="1181" t="s">
        <v>2613</v>
      </c>
      <c r="BE79" s="1183">
        <f>'Points System'!AF837</f>
        <v>9</v>
      </c>
    </row>
    <row r="80" spans="1:57" ht="12.95" customHeight="1">
      <c r="A80" s="1442"/>
      <c r="B80" s="1442"/>
      <c r="C80" s="1442"/>
      <c r="D80" s="1442"/>
      <c r="E80" s="1442"/>
      <c r="F80" s="1442"/>
      <c r="G80" s="1442"/>
      <c r="H80" s="1442"/>
      <c r="I80" s="1442"/>
      <c r="J80" s="1442"/>
      <c r="K80" s="1442"/>
      <c r="L80" s="1442"/>
      <c r="M80" s="1442"/>
      <c r="N80" s="1442"/>
      <c r="O80" s="1442"/>
      <c r="P80" s="1442"/>
      <c r="Q80" s="1442"/>
      <c r="R80" s="1442"/>
      <c r="S80" s="1442"/>
      <c r="T80" s="1442"/>
      <c r="U80" s="1442"/>
      <c r="V80" s="1442"/>
      <c r="W80" s="1442"/>
      <c r="X80" s="1442"/>
      <c r="Y80" s="1442"/>
      <c r="Z80" s="1442"/>
      <c r="AA80" s="1442"/>
      <c r="AB80" s="1442"/>
      <c r="AC80" s="1442"/>
      <c r="AD80" s="1442"/>
      <c r="AE80" s="1442"/>
      <c r="AF80" s="1442"/>
      <c r="AG80" s="1442"/>
      <c r="AH80" s="1442"/>
      <c r="AI80" s="1442"/>
      <c r="AJ80" s="1442"/>
      <c r="AK80" s="1442"/>
      <c r="AL80" s="1442"/>
      <c r="AM80" s="1442"/>
      <c r="AN80" s="1442"/>
      <c r="AO80" s="1442"/>
      <c r="AP80" s="1442"/>
      <c r="AQ80" s="1442"/>
      <c r="AR80" s="1442"/>
      <c r="AS80" s="1442"/>
      <c r="AT80" s="1442"/>
      <c r="AU80" s="20"/>
      <c r="AV80" s="20"/>
      <c r="AW80" s="20"/>
      <c r="AX80" s="20"/>
      <c r="AY80" s="20"/>
      <c r="AZ80" s="20"/>
      <c r="BD80" s="1182" t="s">
        <v>2499</v>
      </c>
      <c r="BE80" s="1183">
        <f>'Points System'!AF839</f>
        <v>10</v>
      </c>
    </row>
    <row r="81" spans="1:57" ht="12.95" customHeight="1">
      <c r="A81" s="1442"/>
      <c r="B81" s="1442"/>
      <c r="C81" s="1442"/>
      <c r="D81" s="1442"/>
      <c r="E81" s="1442"/>
      <c r="F81" s="1442"/>
      <c r="G81" s="1442"/>
      <c r="H81" s="1442"/>
      <c r="I81" s="1442"/>
      <c r="J81" s="1442"/>
      <c r="K81" s="1442"/>
      <c r="L81" s="1442"/>
      <c r="M81" s="1442"/>
      <c r="N81" s="1442"/>
      <c r="O81" s="1442"/>
      <c r="P81" s="1442"/>
      <c r="Q81" s="1442"/>
      <c r="R81" s="1442"/>
      <c r="S81" s="1442"/>
      <c r="T81" s="1442"/>
      <c r="U81" s="1442"/>
      <c r="V81" s="1442"/>
      <c r="W81" s="1442"/>
      <c r="X81" s="1442"/>
      <c r="Y81" s="1442"/>
      <c r="Z81" s="1442"/>
      <c r="AA81" s="1442"/>
      <c r="AB81" s="1442"/>
      <c r="AC81" s="1442"/>
      <c r="AD81" s="1442"/>
      <c r="AE81" s="1442"/>
      <c r="AF81" s="1442"/>
      <c r="AG81" s="1442"/>
      <c r="AH81" s="1442"/>
      <c r="AI81" s="1442"/>
      <c r="AJ81" s="1442"/>
      <c r="AK81" s="1442"/>
      <c r="AL81" s="1442"/>
      <c r="AM81" s="1442"/>
      <c r="AN81" s="1442"/>
      <c r="AO81" s="1442"/>
      <c r="AP81" s="1442"/>
      <c r="AQ81" s="1442"/>
      <c r="AR81" s="1442"/>
      <c r="AS81" s="1442"/>
      <c r="AT81" s="1442"/>
      <c r="AU81" s="20"/>
      <c r="AV81" s="20"/>
      <c r="AW81" s="20"/>
      <c r="AX81" s="20"/>
      <c r="AY81" s="20"/>
      <c r="AZ81" s="20"/>
      <c r="BD81" s="1181" t="s">
        <v>2500</v>
      </c>
      <c r="BE81" s="1183">
        <f>'Points System'!AF840</f>
        <v>12</v>
      </c>
    </row>
    <row r="82" spans="1:57" ht="12.95" customHeight="1">
      <c r="A82" s="519"/>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182" t="s">
        <v>2501</v>
      </c>
      <c r="BE82" s="1183">
        <f>'Points System'!AF841</f>
        <v>10</v>
      </c>
    </row>
    <row r="83" spans="1:57" ht="12.95" customHeight="1">
      <c r="A83" s="1480" t="s">
        <v>2115</v>
      </c>
      <c r="B83" s="1480"/>
      <c r="C83" s="1480"/>
      <c r="D83" s="1480"/>
      <c r="E83" s="1480"/>
      <c r="F83" s="1480"/>
      <c r="G83" s="1480"/>
      <c r="H83" s="1480"/>
      <c r="I83" s="1480"/>
      <c r="J83" s="1480"/>
      <c r="K83" s="1480"/>
      <c r="L83" s="1480"/>
      <c r="M83" s="1480"/>
      <c r="N83" s="1480"/>
      <c r="O83" s="1480"/>
      <c r="P83" s="1480"/>
      <c r="Q83" s="1480"/>
      <c r="R83" s="1480"/>
      <c r="S83" s="1480"/>
      <c r="T83" s="1480"/>
      <c r="U83" s="1480"/>
      <c r="V83" s="1480"/>
      <c r="W83" s="1480"/>
      <c r="X83" s="1480"/>
      <c r="Y83" s="1480"/>
      <c r="Z83" s="1480"/>
      <c r="AA83" s="1480"/>
      <c r="AB83" s="1480"/>
      <c r="AC83" s="1480"/>
      <c r="AD83" s="1480"/>
      <c r="AE83" s="1480"/>
      <c r="AF83" s="1480"/>
      <c r="AG83" s="1480"/>
      <c r="AH83" s="1480"/>
      <c r="AI83" s="1480"/>
      <c r="AJ83" s="1480"/>
      <c r="AK83" s="1480"/>
      <c r="AL83" s="1480"/>
      <c r="AM83" s="1480"/>
      <c r="AN83" s="1480"/>
      <c r="AO83" s="1480"/>
      <c r="AP83" s="1480"/>
      <c r="AQ83" s="1480"/>
      <c r="AR83" s="1480"/>
      <c r="AS83" s="1480"/>
      <c r="AT83" s="1480"/>
      <c r="AU83" s="20"/>
      <c r="AV83" s="20"/>
      <c r="AW83" s="20"/>
      <c r="AX83" s="20"/>
      <c r="AY83" s="20"/>
      <c r="AZ83" s="20"/>
      <c r="BD83" s="1181" t="s">
        <v>2502</v>
      </c>
      <c r="BE83" s="1187">
        <f>'Tie Breaker'!H5</f>
        <v>0.44431067670195584</v>
      </c>
    </row>
    <row r="84" spans="1:57" ht="12.95" customHeight="1">
      <c r="A84" s="1480"/>
      <c r="B84" s="1480"/>
      <c r="C84" s="1480"/>
      <c r="D84" s="1480"/>
      <c r="E84" s="1480"/>
      <c r="F84" s="1480"/>
      <c r="G84" s="1480"/>
      <c r="H84" s="1480"/>
      <c r="I84" s="1480"/>
      <c r="J84" s="1480"/>
      <c r="K84" s="1480"/>
      <c r="L84" s="1480"/>
      <c r="M84" s="1480"/>
      <c r="N84" s="1480"/>
      <c r="O84" s="1480"/>
      <c r="P84" s="1480"/>
      <c r="Q84" s="1480"/>
      <c r="R84" s="1480"/>
      <c r="S84" s="1480"/>
      <c r="T84" s="1480"/>
      <c r="U84" s="1480"/>
      <c r="V84" s="1480"/>
      <c r="W84" s="1480"/>
      <c r="X84" s="1480"/>
      <c r="Y84" s="1480"/>
      <c r="Z84" s="1480"/>
      <c r="AA84" s="1480"/>
      <c r="AB84" s="1480"/>
      <c r="AC84" s="1480"/>
      <c r="AD84" s="1480"/>
      <c r="AE84" s="1480"/>
      <c r="AF84" s="1480"/>
      <c r="AG84" s="1480"/>
      <c r="AH84" s="1480"/>
      <c r="AI84" s="1480"/>
      <c r="AJ84" s="1480"/>
      <c r="AK84" s="1480"/>
      <c r="AL84" s="1480"/>
      <c r="AM84" s="1480"/>
      <c r="AN84" s="1480"/>
      <c r="AO84" s="1480"/>
      <c r="AP84" s="1480"/>
      <c r="AQ84" s="1480"/>
      <c r="AR84" s="1480"/>
      <c r="AS84" s="1480"/>
      <c r="AT84" s="1480"/>
      <c r="AU84" s="20"/>
      <c r="AV84" s="20"/>
      <c r="AW84" s="20"/>
      <c r="AX84" s="20"/>
      <c r="AY84" s="20"/>
      <c r="AZ84" s="20"/>
      <c r="BD84" s="1182" t="s">
        <v>2503</v>
      </c>
      <c r="BE84" s="1183" t="str">
        <f>Application!O153</f>
        <v>Town of Moraga</v>
      </c>
    </row>
    <row r="85" spans="1:57"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181" t="s">
        <v>2504</v>
      </c>
      <c r="BE85" s="1183" t="str">
        <f>Application!O154</f>
        <v>Scott Mitnick</v>
      </c>
    </row>
    <row r="86" spans="1:57" ht="12.95" customHeight="1">
      <c r="A86" s="1480" t="s">
        <v>2116</v>
      </c>
      <c r="B86" s="1480"/>
      <c r="C86" s="1480"/>
      <c r="D86" s="1480"/>
      <c r="E86" s="1480"/>
      <c r="F86" s="1480"/>
      <c r="G86" s="1480"/>
      <c r="H86" s="1480"/>
      <c r="I86" s="1480"/>
      <c r="J86" s="1480"/>
      <c r="K86" s="1480"/>
      <c r="L86" s="1480"/>
      <c r="M86" s="1480"/>
      <c r="N86" s="1480"/>
      <c r="O86" s="1480"/>
      <c r="P86" s="1480"/>
      <c r="Q86" s="1480"/>
      <c r="R86" s="1480"/>
      <c r="S86" s="1480"/>
      <c r="T86" s="1480"/>
      <c r="U86" s="1480"/>
      <c r="V86" s="1480"/>
      <c r="W86" s="1480"/>
      <c r="X86" s="1480"/>
      <c r="Y86" s="1480"/>
      <c r="Z86" s="1480"/>
      <c r="AA86" s="1480"/>
      <c r="AB86" s="1480"/>
      <c r="AC86" s="1480"/>
      <c r="AD86" s="1480"/>
      <c r="AE86" s="1480"/>
      <c r="AF86" s="1480"/>
      <c r="AG86" s="1480"/>
      <c r="AH86" s="1480"/>
      <c r="AI86" s="1480"/>
      <c r="AJ86" s="1480"/>
      <c r="AK86" s="1480"/>
      <c r="AL86" s="1480"/>
      <c r="AM86" s="1480"/>
      <c r="AN86" s="1480"/>
      <c r="AO86" s="1480"/>
      <c r="AP86" s="1480"/>
      <c r="AQ86" s="1480"/>
      <c r="AR86" s="1480"/>
      <c r="AS86" s="1480"/>
      <c r="AT86" s="1480"/>
      <c r="AU86" s="20"/>
      <c r="AV86" s="20"/>
      <c r="AW86" s="20"/>
      <c r="AX86" s="20"/>
      <c r="AY86" s="20"/>
      <c r="AZ86" s="20"/>
      <c r="BD86" s="1182" t="s">
        <v>2505</v>
      </c>
      <c r="BE86" s="1183" t="str">
        <f>Application!O155</f>
        <v>City Manager</v>
      </c>
    </row>
    <row r="87" spans="1:57" ht="12.95" customHeight="1">
      <c r="A87" s="1480"/>
      <c r="B87" s="1480"/>
      <c r="C87" s="1480"/>
      <c r="D87" s="1480"/>
      <c r="E87" s="1480"/>
      <c r="F87" s="1480"/>
      <c r="G87" s="1480"/>
      <c r="H87" s="1480"/>
      <c r="I87" s="1480"/>
      <c r="J87" s="1480"/>
      <c r="K87" s="1480"/>
      <c r="L87" s="1480"/>
      <c r="M87" s="1480"/>
      <c r="N87" s="1480"/>
      <c r="O87" s="1480"/>
      <c r="P87" s="1480"/>
      <c r="Q87" s="1480"/>
      <c r="R87" s="1480"/>
      <c r="S87" s="1480"/>
      <c r="T87" s="1480"/>
      <c r="U87" s="1480"/>
      <c r="V87" s="1480"/>
      <c r="W87" s="1480"/>
      <c r="X87" s="1480"/>
      <c r="Y87" s="1480"/>
      <c r="Z87" s="1480"/>
      <c r="AA87" s="1480"/>
      <c r="AB87" s="1480"/>
      <c r="AC87" s="1480"/>
      <c r="AD87" s="1480"/>
      <c r="AE87" s="1480"/>
      <c r="AF87" s="1480"/>
      <c r="AG87" s="1480"/>
      <c r="AH87" s="1480"/>
      <c r="AI87" s="1480"/>
      <c r="AJ87" s="1480"/>
      <c r="AK87" s="1480"/>
      <c r="AL87" s="1480"/>
      <c r="AM87" s="1480"/>
      <c r="AN87" s="1480"/>
      <c r="AO87" s="1480"/>
      <c r="AP87" s="1480"/>
      <c r="AQ87" s="1480"/>
      <c r="AR87" s="1480"/>
      <c r="AS87" s="1480"/>
      <c r="AT87" s="1480"/>
      <c r="AU87" s="20"/>
      <c r="AV87" s="20"/>
      <c r="AW87" s="20"/>
      <c r="AX87" s="20"/>
      <c r="AY87" s="20"/>
      <c r="AZ87" s="20"/>
      <c r="BD87" s="1181" t="s">
        <v>2506</v>
      </c>
      <c r="BE87" s="1183" t="str">
        <f>Application!O156</f>
        <v>329 Rheem Boulevard</v>
      </c>
    </row>
    <row r="88" spans="1:57" ht="12.9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182" t="s">
        <v>2507</v>
      </c>
      <c r="BE88" s="1183" t="str">
        <f>Application!O157</f>
        <v>Moraga</v>
      </c>
    </row>
    <row r="89" spans="1:57" ht="12.95" customHeight="1">
      <c r="A89" s="1483" t="s">
        <v>2117</v>
      </c>
      <c r="B89" s="1483"/>
      <c r="C89" s="1483"/>
      <c r="D89" s="1483"/>
      <c r="E89" s="1483"/>
      <c r="F89" s="1483"/>
      <c r="G89" s="1483"/>
      <c r="H89" s="1483"/>
      <c r="I89" s="1483"/>
      <c r="J89" s="1483"/>
      <c r="K89" s="1483"/>
      <c r="L89" s="1483"/>
      <c r="M89" s="1483"/>
      <c r="N89" s="1483"/>
      <c r="O89" s="1483"/>
      <c r="P89" s="1483"/>
      <c r="Q89" s="1483"/>
      <c r="R89" s="1483"/>
      <c r="S89" s="1483"/>
      <c r="T89" s="1483"/>
      <c r="U89" s="1483"/>
      <c r="V89" s="1483"/>
      <c r="W89" s="1483"/>
      <c r="X89" s="1483"/>
      <c r="Y89" s="1483"/>
      <c r="Z89" s="1483"/>
      <c r="AA89" s="1483"/>
      <c r="AB89" s="1483"/>
      <c r="AC89" s="1483"/>
      <c r="AD89" s="1483"/>
      <c r="AE89" s="1483"/>
      <c r="AF89" s="1483"/>
      <c r="AG89" s="1483"/>
      <c r="AH89" s="1483"/>
      <c r="AI89" s="1483"/>
      <c r="AJ89" s="1483"/>
      <c r="AK89" s="1483"/>
      <c r="AL89" s="1483"/>
      <c r="AM89" s="1483"/>
      <c r="AN89" s="1483"/>
      <c r="AO89" s="1483"/>
      <c r="AP89" s="1483"/>
      <c r="AQ89" s="1483"/>
      <c r="AR89" s="1483"/>
      <c r="AS89" s="1483"/>
      <c r="AT89" s="1483"/>
      <c r="AU89" s="17"/>
      <c r="AV89" s="17"/>
      <c r="AW89" s="17"/>
      <c r="AX89" s="17"/>
      <c r="AY89" s="17"/>
      <c r="AZ89" s="20"/>
      <c r="BD89" s="1181" t="s">
        <v>2508</v>
      </c>
      <c r="BE89" s="1183">
        <f>Application!O158</f>
        <v>94556</v>
      </c>
    </row>
    <row r="90" spans="1:57" ht="12.95" customHeight="1">
      <c r="A90" s="1483"/>
      <c r="B90" s="1483"/>
      <c r="C90" s="1483"/>
      <c r="D90" s="1483"/>
      <c r="E90" s="1483"/>
      <c r="F90" s="1483"/>
      <c r="G90" s="1483"/>
      <c r="H90" s="1483"/>
      <c r="I90" s="1483"/>
      <c r="J90" s="1483"/>
      <c r="K90" s="1483"/>
      <c r="L90" s="1483"/>
      <c r="M90" s="1483"/>
      <c r="N90" s="1483"/>
      <c r="O90" s="1483"/>
      <c r="P90" s="1483"/>
      <c r="Q90" s="1483"/>
      <c r="R90" s="1483"/>
      <c r="S90" s="1483"/>
      <c r="T90" s="1483"/>
      <c r="U90" s="1483"/>
      <c r="V90" s="1483"/>
      <c r="W90" s="1483"/>
      <c r="X90" s="1483"/>
      <c r="Y90" s="1483"/>
      <c r="Z90" s="1483"/>
      <c r="AA90" s="1483"/>
      <c r="AB90" s="1483"/>
      <c r="AC90" s="1483"/>
      <c r="AD90" s="1483"/>
      <c r="AE90" s="1483"/>
      <c r="AF90" s="1483"/>
      <c r="AG90" s="1483"/>
      <c r="AH90" s="1483"/>
      <c r="AI90" s="1483"/>
      <c r="AJ90" s="1483"/>
      <c r="AK90" s="1483"/>
      <c r="AL90" s="1483"/>
      <c r="AM90" s="1483"/>
      <c r="AN90" s="1483"/>
      <c r="AO90" s="1483"/>
      <c r="AP90" s="1483"/>
      <c r="AQ90" s="1483"/>
      <c r="AR90" s="1483"/>
      <c r="AS90" s="1483"/>
      <c r="AT90" s="1483"/>
      <c r="AU90" s="17"/>
      <c r="AV90" s="17"/>
      <c r="AW90" s="17"/>
      <c r="AX90" s="17"/>
      <c r="AY90" s="17"/>
      <c r="AZ90" s="20"/>
      <c r="BD90" s="1182" t="s">
        <v>2509</v>
      </c>
      <c r="BE90" s="1183" t="str">
        <f>Application!H16</f>
        <v>Moraga Park Street LP</v>
      </c>
    </row>
    <row r="91" spans="1:57" ht="12.9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181" t="s">
        <v>2510</v>
      </c>
      <c r="BE91" s="1183" t="str">
        <f>Application!M242</f>
        <v>5251 Ericson Way, Suite A</v>
      </c>
    </row>
    <row r="92" spans="1:57" ht="12.95" customHeight="1">
      <c r="A92" s="1472" t="s">
        <v>2118</v>
      </c>
      <c r="B92" s="1472"/>
      <c r="C92" s="1472"/>
      <c r="D92" s="1472"/>
      <c r="E92" s="1472"/>
      <c r="F92" s="1472"/>
      <c r="G92" s="1472"/>
      <c r="H92" s="1472"/>
      <c r="I92" s="1472"/>
      <c r="J92" s="1472"/>
      <c r="K92" s="1472"/>
      <c r="L92" s="1472"/>
      <c r="M92" s="1472"/>
      <c r="N92" s="1472"/>
      <c r="O92" s="1472"/>
      <c r="P92" s="1472"/>
      <c r="Q92" s="1472"/>
      <c r="R92" s="1472"/>
      <c r="S92" s="1472"/>
      <c r="T92" s="1472"/>
      <c r="U92" s="1472"/>
      <c r="V92" s="1472"/>
      <c r="W92" s="1472"/>
      <c r="X92" s="1472"/>
      <c r="Y92" s="1472"/>
      <c r="Z92" s="1472"/>
      <c r="AA92" s="1472"/>
      <c r="AB92" s="1472"/>
      <c r="AC92" s="1472"/>
      <c r="AD92" s="1472"/>
      <c r="AE92" s="1472"/>
      <c r="AF92" s="1472"/>
      <c r="AG92" s="1472"/>
      <c r="AH92" s="1472"/>
      <c r="AI92" s="1472"/>
      <c r="AJ92" s="1472"/>
      <c r="AK92" s="1472"/>
      <c r="AL92" s="1472"/>
      <c r="AM92" s="1472"/>
      <c r="AN92" s="1472"/>
      <c r="AO92" s="1472"/>
      <c r="AP92" s="1472"/>
      <c r="AQ92" s="1472"/>
      <c r="AR92" s="1472"/>
      <c r="AS92" s="1472"/>
      <c r="AT92" s="1472"/>
      <c r="AU92" s="20"/>
      <c r="AV92" s="20"/>
      <c r="AW92" s="20"/>
      <c r="AX92" s="20"/>
      <c r="AY92" s="20"/>
      <c r="AZ92" s="20"/>
      <c r="BD92" s="1182" t="s">
        <v>2511</v>
      </c>
      <c r="BE92" s="1183" t="str">
        <f>Application!M243</f>
        <v>Arcata</v>
      </c>
    </row>
    <row r="93" spans="1:57" ht="12.95" customHeight="1">
      <c r="A93" s="1472"/>
      <c r="B93" s="1472"/>
      <c r="C93" s="1472"/>
      <c r="D93" s="1472"/>
      <c r="E93" s="1472"/>
      <c r="F93" s="1472"/>
      <c r="G93" s="1472"/>
      <c r="H93" s="1472"/>
      <c r="I93" s="1472"/>
      <c r="J93" s="1472"/>
      <c r="K93" s="1472"/>
      <c r="L93" s="1472"/>
      <c r="M93" s="1472"/>
      <c r="N93" s="1472"/>
      <c r="O93" s="1472"/>
      <c r="P93" s="1472"/>
      <c r="Q93" s="1472"/>
      <c r="R93" s="1472"/>
      <c r="S93" s="1472"/>
      <c r="T93" s="1472"/>
      <c r="U93" s="1472"/>
      <c r="V93" s="1472"/>
      <c r="W93" s="1472"/>
      <c r="X93" s="1472"/>
      <c r="Y93" s="1472"/>
      <c r="Z93" s="1472"/>
      <c r="AA93" s="1472"/>
      <c r="AB93" s="1472"/>
      <c r="AC93" s="1472"/>
      <c r="AD93" s="1472"/>
      <c r="AE93" s="1472"/>
      <c r="AF93" s="1472"/>
      <c r="AG93" s="1472"/>
      <c r="AH93" s="1472"/>
      <c r="AI93" s="1472"/>
      <c r="AJ93" s="1472"/>
      <c r="AK93" s="1472"/>
      <c r="AL93" s="1472"/>
      <c r="AM93" s="1472"/>
      <c r="AN93" s="1472"/>
      <c r="AO93" s="1472"/>
      <c r="AP93" s="1472"/>
      <c r="AQ93" s="1472"/>
      <c r="AR93" s="1472"/>
      <c r="AS93" s="1472"/>
      <c r="AT93" s="1472"/>
      <c r="AU93" s="20"/>
      <c r="AV93" s="20"/>
      <c r="AW93" s="20"/>
      <c r="AX93" s="20"/>
      <c r="AY93" s="20"/>
      <c r="AZ93" s="20"/>
      <c r="BD93" s="1181" t="s">
        <v>2512</v>
      </c>
      <c r="BE93" s="1183" t="str">
        <f>Application!W243</f>
        <v>CA</v>
      </c>
    </row>
    <row r="94" spans="1:57" ht="12.95" customHeight="1">
      <c r="A94" s="1472"/>
      <c r="B94" s="1472"/>
      <c r="C94" s="1472"/>
      <c r="D94" s="1472"/>
      <c r="E94" s="1472"/>
      <c r="F94" s="1472"/>
      <c r="G94" s="1472"/>
      <c r="H94" s="1472"/>
      <c r="I94" s="1472"/>
      <c r="J94" s="1472"/>
      <c r="K94" s="1472"/>
      <c r="L94" s="1472"/>
      <c r="M94" s="1472"/>
      <c r="N94" s="1472"/>
      <c r="O94" s="1472"/>
      <c r="P94" s="1472"/>
      <c r="Q94" s="1472"/>
      <c r="R94" s="1472"/>
      <c r="S94" s="1472"/>
      <c r="T94" s="1472"/>
      <c r="U94" s="1472"/>
      <c r="V94" s="1472"/>
      <c r="W94" s="1472"/>
      <c r="X94" s="1472"/>
      <c r="Y94" s="1472"/>
      <c r="Z94" s="1472"/>
      <c r="AA94" s="1472"/>
      <c r="AB94" s="1472"/>
      <c r="AC94" s="1472"/>
      <c r="AD94" s="1472"/>
      <c r="AE94" s="1472"/>
      <c r="AF94" s="1472"/>
      <c r="AG94" s="1472"/>
      <c r="AH94" s="1472"/>
      <c r="AI94" s="1472"/>
      <c r="AJ94" s="1472"/>
      <c r="AK94" s="1472"/>
      <c r="AL94" s="1472"/>
      <c r="AM94" s="1472"/>
      <c r="AN94" s="1472"/>
      <c r="AO94" s="1472"/>
      <c r="AP94" s="1472"/>
      <c r="AQ94" s="1472"/>
      <c r="AR94" s="1472"/>
      <c r="AS94" s="1472"/>
      <c r="AT94" s="1472"/>
      <c r="AU94" s="20"/>
      <c r="AV94" s="20"/>
      <c r="AW94" s="20"/>
      <c r="AX94" s="20"/>
      <c r="AY94" s="20"/>
      <c r="AZ94" s="20"/>
      <c r="BD94" s="1182" t="s">
        <v>2513</v>
      </c>
      <c r="BE94" s="1183">
        <f>Application!AC243</f>
        <v>95521</v>
      </c>
    </row>
    <row r="95" spans="1:57" ht="12.95" customHeight="1">
      <c r="A95" s="1472"/>
      <c r="B95" s="1472"/>
      <c r="C95" s="1472"/>
      <c r="D95" s="1472"/>
      <c r="E95" s="1472"/>
      <c r="F95" s="1472"/>
      <c r="G95" s="1472"/>
      <c r="H95" s="1472"/>
      <c r="I95" s="1472"/>
      <c r="J95" s="1472"/>
      <c r="K95" s="1472"/>
      <c r="L95" s="1472"/>
      <c r="M95" s="1472"/>
      <c r="N95" s="1472"/>
      <c r="O95" s="1472"/>
      <c r="P95" s="1472"/>
      <c r="Q95" s="1472"/>
      <c r="R95" s="1472"/>
      <c r="S95" s="1472"/>
      <c r="T95" s="1472"/>
      <c r="U95" s="1472"/>
      <c r="V95" s="1472"/>
      <c r="W95" s="1472"/>
      <c r="X95" s="1472"/>
      <c r="Y95" s="1472"/>
      <c r="Z95" s="1472"/>
      <c r="AA95" s="1472"/>
      <c r="AB95" s="1472"/>
      <c r="AC95" s="1472"/>
      <c r="AD95" s="1472"/>
      <c r="AE95" s="1472"/>
      <c r="AF95" s="1472"/>
      <c r="AG95" s="1472"/>
      <c r="AH95" s="1472"/>
      <c r="AI95" s="1472"/>
      <c r="AJ95" s="1472"/>
      <c r="AK95" s="1472"/>
      <c r="AL95" s="1472"/>
      <c r="AM95" s="1472"/>
      <c r="AN95" s="1472"/>
      <c r="AO95" s="1472"/>
      <c r="AP95" s="1472"/>
      <c r="AQ95" s="1472"/>
      <c r="AR95" s="1472"/>
      <c r="AS95" s="1472"/>
      <c r="AT95" s="1472"/>
      <c r="AU95" s="20"/>
      <c r="AV95" s="20"/>
      <c r="AW95" s="20"/>
      <c r="AX95" s="20"/>
      <c r="AY95" s="20"/>
      <c r="AZ95" s="20"/>
      <c r="BD95" s="1181" t="s">
        <v>2514</v>
      </c>
      <c r="BE95" s="1183" t="str">
        <f>Application!M244</f>
        <v>Chris Dart</v>
      </c>
    </row>
    <row r="96" spans="1:57" ht="12.95" customHeight="1">
      <c r="A96" s="1472"/>
      <c r="B96" s="1472"/>
      <c r="C96" s="1472"/>
      <c r="D96" s="1472"/>
      <c r="E96" s="1472"/>
      <c r="F96" s="1472"/>
      <c r="G96" s="1472"/>
      <c r="H96" s="1472"/>
      <c r="I96" s="1472"/>
      <c r="J96" s="1472"/>
      <c r="K96" s="1472"/>
      <c r="L96" s="1472"/>
      <c r="M96" s="1472"/>
      <c r="N96" s="1472"/>
      <c r="O96" s="1472"/>
      <c r="P96" s="1472"/>
      <c r="Q96" s="1472"/>
      <c r="R96" s="1472"/>
      <c r="S96" s="1472"/>
      <c r="T96" s="1472"/>
      <c r="U96" s="1472"/>
      <c r="V96" s="1472"/>
      <c r="W96" s="1472"/>
      <c r="X96" s="1472"/>
      <c r="Y96" s="1472"/>
      <c r="Z96" s="1472"/>
      <c r="AA96" s="1472"/>
      <c r="AB96" s="1472"/>
      <c r="AC96" s="1472"/>
      <c r="AD96" s="1472"/>
      <c r="AE96" s="1472"/>
      <c r="AF96" s="1472"/>
      <c r="AG96" s="1472"/>
      <c r="AH96" s="1472"/>
      <c r="AI96" s="1472"/>
      <c r="AJ96" s="1472"/>
      <c r="AK96" s="1472"/>
      <c r="AL96" s="1472"/>
      <c r="AM96" s="1472"/>
      <c r="AN96" s="1472"/>
      <c r="AO96" s="1472"/>
      <c r="AP96" s="1472"/>
      <c r="AQ96" s="1472"/>
      <c r="AR96" s="1472"/>
      <c r="AS96" s="1472"/>
      <c r="AT96" s="1472"/>
      <c r="AU96" s="20"/>
      <c r="AV96" s="20"/>
      <c r="AW96" s="20"/>
      <c r="AX96" s="20"/>
      <c r="AY96" s="20"/>
      <c r="AZ96" s="20"/>
      <c r="BD96" s="1182" t="s">
        <v>2515</v>
      </c>
      <c r="BE96" s="1183" t="str">
        <f>Application!M246</f>
        <v>cdart@danco-group.com</v>
      </c>
    </row>
    <row r="97" spans="1:57" ht="12.95" customHeight="1">
      <c r="A97" s="1472"/>
      <c r="B97" s="1472"/>
      <c r="C97" s="1472"/>
      <c r="D97" s="1472"/>
      <c r="E97" s="1472"/>
      <c r="F97" s="1472"/>
      <c r="G97" s="1472"/>
      <c r="H97" s="1472"/>
      <c r="I97" s="1472"/>
      <c r="J97" s="1472"/>
      <c r="K97" s="1472"/>
      <c r="L97" s="1472"/>
      <c r="M97" s="1472"/>
      <c r="N97" s="1472"/>
      <c r="O97" s="1472"/>
      <c r="P97" s="1472"/>
      <c r="Q97" s="1472"/>
      <c r="R97" s="1472"/>
      <c r="S97" s="1472"/>
      <c r="T97" s="1472"/>
      <c r="U97" s="1472"/>
      <c r="V97" s="1472"/>
      <c r="W97" s="1472"/>
      <c r="X97" s="1472"/>
      <c r="Y97" s="1472"/>
      <c r="Z97" s="1472"/>
      <c r="AA97" s="1472"/>
      <c r="AB97" s="1472"/>
      <c r="AC97" s="1472"/>
      <c r="AD97" s="1472"/>
      <c r="AE97" s="1472"/>
      <c r="AF97" s="1472"/>
      <c r="AG97" s="1472"/>
      <c r="AH97" s="1472"/>
      <c r="AI97" s="1472"/>
      <c r="AJ97" s="1472"/>
      <c r="AK97" s="1472"/>
      <c r="AL97" s="1472"/>
      <c r="AM97" s="1472"/>
      <c r="AN97" s="1472"/>
      <c r="AO97" s="1472"/>
      <c r="AP97" s="1472"/>
      <c r="AQ97" s="1472"/>
      <c r="AR97" s="1472"/>
      <c r="AS97" s="1472"/>
      <c r="AT97" s="1472"/>
      <c r="AU97" s="20"/>
      <c r="AV97" s="20"/>
      <c r="AW97" s="20"/>
      <c r="AX97" s="20"/>
      <c r="AY97" s="20"/>
      <c r="AZ97" s="20"/>
      <c r="BD97" s="1181" t="s">
        <v>2516</v>
      </c>
      <c r="BE97" s="1183" t="str">
        <f>Application!M257</f>
        <v>cdart@danco-group.com</v>
      </c>
    </row>
    <row r="98" spans="1:57" ht="12.95" customHeight="1">
      <c r="A98" s="1472"/>
      <c r="B98" s="1472"/>
      <c r="C98" s="1472"/>
      <c r="D98" s="1472"/>
      <c r="E98" s="1472"/>
      <c r="F98" s="1472"/>
      <c r="G98" s="1472"/>
      <c r="H98" s="1472"/>
      <c r="I98" s="1472"/>
      <c r="J98" s="1472"/>
      <c r="K98" s="1472"/>
      <c r="L98" s="1472"/>
      <c r="M98" s="1472"/>
      <c r="N98" s="1472"/>
      <c r="O98" s="1472"/>
      <c r="P98" s="1472"/>
      <c r="Q98" s="1472"/>
      <c r="R98" s="1472"/>
      <c r="S98" s="1472"/>
      <c r="T98" s="1472"/>
      <c r="U98" s="1472"/>
      <c r="V98" s="1472"/>
      <c r="W98" s="1472"/>
      <c r="X98" s="1472"/>
      <c r="Y98" s="1472"/>
      <c r="Z98" s="1472"/>
      <c r="AA98" s="1472"/>
      <c r="AB98" s="1472"/>
      <c r="AC98" s="1472"/>
      <c r="AD98" s="1472"/>
      <c r="AE98" s="1472"/>
      <c r="AF98" s="1472"/>
      <c r="AG98" s="1472"/>
      <c r="AH98" s="1472"/>
      <c r="AI98" s="1472"/>
      <c r="AJ98" s="1472"/>
      <c r="AK98" s="1472"/>
      <c r="AL98" s="1472"/>
      <c r="AM98" s="1472"/>
      <c r="AN98" s="1472"/>
      <c r="AO98" s="1472"/>
      <c r="AP98" s="1472"/>
      <c r="AQ98" s="1472"/>
      <c r="AR98" s="1472"/>
      <c r="AS98" s="1472"/>
      <c r="AT98" s="1472"/>
      <c r="AU98" s="20"/>
      <c r="AV98" s="20"/>
      <c r="AW98" s="20"/>
      <c r="AX98" s="20"/>
      <c r="AY98" s="20"/>
      <c r="AZ98" s="20"/>
      <c r="BD98" s="1182" t="s">
        <v>2517</v>
      </c>
      <c r="BE98" s="1183" t="str">
        <f>Application!M265</f>
        <v>david@crdc-housing.org</v>
      </c>
    </row>
    <row r="99" spans="1:57"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181" t="s">
        <v>2518</v>
      </c>
      <c r="BE99" s="1183">
        <f>Application!M273</f>
        <v>0</v>
      </c>
    </row>
    <row r="100" spans="1:57" ht="12.95" customHeight="1">
      <c r="A100" s="1484" t="s">
        <v>2119</v>
      </c>
      <c r="B100" s="1484"/>
      <c r="C100" s="1484"/>
      <c r="D100" s="1484"/>
      <c r="E100" s="1484"/>
      <c r="F100" s="1484"/>
      <c r="G100" s="1484"/>
      <c r="H100" s="1484"/>
      <c r="I100" s="1484"/>
      <c r="J100" s="1484"/>
      <c r="K100" s="1484"/>
      <c r="L100" s="1484"/>
      <c r="M100" s="1484"/>
      <c r="N100" s="1484"/>
      <c r="O100" s="1484"/>
      <c r="P100" s="1484"/>
      <c r="Q100" s="1484"/>
      <c r="R100" s="1484"/>
      <c r="S100" s="1484"/>
      <c r="T100" s="1484"/>
      <c r="U100" s="1484"/>
      <c r="V100" s="1484"/>
      <c r="W100" s="1484"/>
      <c r="X100" s="1484"/>
      <c r="Y100" s="1484"/>
      <c r="Z100" s="1484"/>
      <c r="AA100" s="1484"/>
      <c r="AB100" s="1484"/>
      <c r="AC100" s="1484"/>
      <c r="AD100" s="1484"/>
      <c r="AE100" s="1484"/>
      <c r="AF100" s="1484"/>
      <c r="AG100" s="1484"/>
      <c r="AH100" s="1484"/>
      <c r="AI100" s="1484"/>
      <c r="AJ100" s="1484"/>
      <c r="AK100" s="1484"/>
      <c r="AL100" s="1484"/>
      <c r="AM100" s="1484"/>
      <c r="AN100" s="1484"/>
      <c r="AO100" s="1484"/>
      <c r="AP100" s="1484"/>
      <c r="AQ100" s="1484"/>
      <c r="AR100" s="1484"/>
      <c r="AS100" s="1484"/>
      <c r="AT100" s="1484"/>
      <c r="AU100" s="20"/>
      <c r="AV100" s="20"/>
      <c r="AW100" s="20"/>
      <c r="AX100" s="20"/>
      <c r="AY100" s="20"/>
      <c r="AZ100" s="20"/>
      <c r="BD100" s="1182" t="s">
        <v>2519</v>
      </c>
      <c r="BE100" s="1183" t="str">
        <f>Application!L288</f>
        <v>kheyden@danco-group.com</v>
      </c>
    </row>
    <row r="101" spans="1:57" ht="12.95" customHeight="1">
      <c r="A101" s="1484"/>
      <c r="B101" s="1484"/>
      <c r="C101" s="1484"/>
      <c r="D101" s="1484"/>
      <c r="E101" s="1484"/>
      <c r="F101" s="1484"/>
      <c r="G101" s="1484"/>
      <c r="H101" s="1484"/>
      <c r="I101" s="1484"/>
      <c r="J101" s="1484"/>
      <c r="K101" s="1484"/>
      <c r="L101" s="1484"/>
      <c r="M101" s="1484"/>
      <c r="N101" s="1484"/>
      <c r="O101" s="1484"/>
      <c r="P101" s="1484"/>
      <c r="Q101" s="1484"/>
      <c r="R101" s="1484"/>
      <c r="S101" s="1484"/>
      <c r="T101" s="1484"/>
      <c r="U101" s="1484"/>
      <c r="V101" s="1484"/>
      <c r="W101" s="1484"/>
      <c r="X101" s="1484"/>
      <c r="Y101" s="1484"/>
      <c r="Z101" s="1484"/>
      <c r="AA101" s="1484"/>
      <c r="AB101" s="1484"/>
      <c r="AC101" s="1484"/>
      <c r="AD101" s="1484"/>
      <c r="AE101" s="1484"/>
      <c r="AF101" s="1484"/>
      <c r="AG101" s="1484"/>
      <c r="AH101" s="1484"/>
      <c r="AI101" s="1484"/>
      <c r="AJ101" s="1484"/>
      <c r="AK101" s="1484"/>
      <c r="AL101" s="1484"/>
      <c r="AM101" s="1484"/>
      <c r="AN101" s="1484"/>
      <c r="AO101" s="1484"/>
      <c r="AP101" s="1484"/>
      <c r="AQ101" s="1484"/>
      <c r="AR101" s="1484"/>
      <c r="AS101" s="1484"/>
      <c r="AT101" s="1484"/>
      <c r="AU101" s="20"/>
      <c r="AV101" s="20"/>
      <c r="AW101" s="20"/>
      <c r="AX101" s="20"/>
      <c r="AY101" s="20"/>
      <c r="AZ101" s="20"/>
      <c r="BD101" s="3" t="s">
        <v>2524</v>
      </c>
      <c r="BE101">
        <f>'Sources and Uses Budget'!C105</f>
        <v>34183137</v>
      </c>
    </row>
    <row r="102" spans="1:57" ht="12.95" customHeight="1">
      <c r="A102" s="1484"/>
      <c r="B102" s="1484"/>
      <c r="C102" s="1484"/>
      <c r="D102" s="1484"/>
      <c r="E102" s="1484"/>
      <c r="F102" s="1484"/>
      <c r="G102" s="1484"/>
      <c r="H102" s="1484"/>
      <c r="I102" s="1484"/>
      <c r="J102" s="1484"/>
      <c r="K102" s="1484"/>
      <c r="L102" s="1484"/>
      <c r="M102" s="1484"/>
      <c r="N102" s="1484"/>
      <c r="O102" s="1484"/>
      <c r="P102" s="1484"/>
      <c r="Q102" s="1484"/>
      <c r="R102" s="1484"/>
      <c r="S102" s="1484"/>
      <c r="T102" s="1484"/>
      <c r="U102" s="1484"/>
      <c r="V102" s="1484"/>
      <c r="W102" s="1484"/>
      <c r="X102" s="1484"/>
      <c r="Y102" s="1484"/>
      <c r="Z102" s="1484"/>
      <c r="AA102" s="1484"/>
      <c r="AB102" s="1484"/>
      <c r="AC102" s="1484"/>
      <c r="AD102" s="1484"/>
      <c r="AE102" s="1484"/>
      <c r="AF102" s="1484"/>
      <c r="AG102" s="1484"/>
      <c r="AH102" s="1484"/>
      <c r="AI102" s="1484"/>
      <c r="AJ102" s="1484"/>
      <c r="AK102" s="1484"/>
      <c r="AL102" s="1484"/>
      <c r="AM102" s="1484"/>
      <c r="AN102" s="1484"/>
      <c r="AO102" s="1484"/>
      <c r="AP102" s="1484"/>
      <c r="AQ102" s="1484"/>
      <c r="AR102" s="1484"/>
      <c r="AS102" s="1484"/>
      <c r="AT102" s="1484"/>
      <c r="AU102" s="20"/>
      <c r="AV102" s="20"/>
      <c r="AW102" s="20"/>
      <c r="AX102" s="20"/>
      <c r="AY102" s="20"/>
      <c r="AZ102" s="20"/>
      <c r="BD102" s="3" t="s">
        <v>2525</v>
      </c>
      <c r="BE102" t="b">
        <f>T197="Yes"</f>
        <v>0</v>
      </c>
    </row>
    <row r="103" spans="1:57" ht="12.95" customHeight="1">
      <c r="A103" s="1484"/>
      <c r="B103" s="1484"/>
      <c r="C103" s="1484"/>
      <c r="D103" s="1484"/>
      <c r="E103" s="1484"/>
      <c r="F103" s="1484"/>
      <c r="G103" s="1484"/>
      <c r="H103" s="1484"/>
      <c r="I103" s="1484"/>
      <c r="J103" s="1484"/>
      <c r="K103" s="1484"/>
      <c r="L103" s="1484"/>
      <c r="M103" s="1484"/>
      <c r="N103" s="1484"/>
      <c r="O103" s="1484"/>
      <c r="P103" s="1484"/>
      <c r="Q103" s="1484"/>
      <c r="R103" s="1484"/>
      <c r="S103" s="1484"/>
      <c r="T103" s="1484"/>
      <c r="U103" s="1484"/>
      <c r="V103" s="1484"/>
      <c r="W103" s="1484"/>
      <c r="X103" s="1484"/>
      <c r="Y103" s="1484"/>
      <c r="Z103" s="1484"/>
      <c r="AA103" s="1484"/>
      <c r="AB103" s="1484"/>
      <c r="AC103" s="1484"/>
      <c r="AD103" s="1484"/>
      <c r="AE103" s="1484"/>
      <c r="AF103" s="1484"/>
      <c r="AG103" s="1484"/>
      <c r="AH103" s="1484"/>
      <c r="AI103" s="1484"/>
      <c r="AJ103" s="1484"/>
      <c r="AK103" s="1484"/>
      <c r="AL103" s="1484"/>
      <c r="AM103" s="1484"/>
      <c r="AN103" s="1484"/>
      <c r="AO103" s="1484"/>
      <c r="AP103" s="1484"/>
      <c r="AQ103" s="1484"/>
      <c r="AR103" s="1484"/>
      <c r="AS103" s="1484"/>
      <c r="AT103" s="1484"/>
      <c r="AU103" s="20"/>
      <c r="AV103" s="20"/>
      <c r="AW103" s="20"/>
      <c r="AX103" s="20"/>
      <c r="AY103" s="20"/>
      <c r="BD103" t="s">
        <v>2129</v>
      </c>
      <c r="BE103" s="1183" t="b">
        <f>T199="Yes"</f>
        <v>0</v>
      </c>
    </row>
    <row r="104" spans="1:57" ht="12.9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c r="BD104" t="s">
        <v>2536</v>
      </c>
      <c r="BE104" s="1183" t="b">
        <f>T200="Yes"</f>
        <v>0</v>
      </c>
    </row>
    <row r="105" spans="1:57" ht="12.95" customHeight="1">
      <c r="A105" s="1484" t="s">
        <v>2120</v>
      </c>
      <c r="B105" s="1484"/>
      <c r="C105" s="1484"/>
      <c r="D105" s="1484"/>
      <c r="E105" s="1484"/>
      <c r="F105" s="1484"/>
      <c r="G105" s="1484"/>
      <c r="H105" s="1484"/>
      <c r="I105" s="1484"/>
      <c r="J105" s="1484"/>
      <c r="K105" s="1484"/>
      <c r="L105" s="1484"/>
      <c r="M105" s="1484"/>
      <c r="N105" s="1484"/>
      <c r="O105" s="1484"/>
      <c r="P105" s="1484"/>
      <c r="Q105" s="1484"/>
      <c r="R105" s="1484"/>
      <c r="S105" s="1484"/>
      <c r="T105" s="1484"/>
      <c r="U105" s="1484"/>
      <c r="V105" s="1484"/>
      <c r="W105" s="1484"/>
      <c r="X105" s="1484"/>
      <c r="Y105" s="1484"/>
      <c r="Z105" s="1484"/>
      <c r="AA105" s="1484"/>
      <c r="AB105" s="1484"/>
      <c r="AC105" s="1484"/>
      <c r="AD105" s="1484"/>
      <c r="AE105" s="1484"/>
      <c r="AF105" s="1484"/>
      <c r="AG105" s="1484"/>
      <c r="AH105" s="1484"/>
      <c r="AI105" s="1484"/>
      <c r="AJ105" s="1484"/>
      <c r="AK105" s="1484"/>
      <c r="AL105" s="1484"/>
      <c r="AM105" s="1484"/>
      <c r="AN105" s="1484"/>
      <c r="AO105" s="1484"/>
      <c r="AP105" s="1484"/>
      <c r="AQ105" s="1484"/>
      <c r="AR105" s="1484"/>
      <c r="AS105" s="1484"/>
      <c r="AT105" s="1484"/>
      <c r="AU105" s="20"/>
      <c r="AV105" s="20"/>
      <c r="AW105" s="20"/>
      <c r="AX105" s="20"/>
      <c r="AY105" s="20"/>
      <c r="BD105" s="3" t="s">
        <v>2541</v>
      </c>
      <c r="BE105" s="1183" t="b">
        <f>V224="Yes"</f>
        <v>0</v>
      </c>
    </row>
    <row r="106" spans="1:57" ht="12.95" customHeight="1">
      <c r="A106" s="1484"/>
      <c r="B106" s="1484"/>
      <c r="C106" s="1484"/>
      <c r="D106" s="1484"/>
      <c r="E106" s="1484"/>
      <c r="F106" s="1484"/>
      <c r="G106" s="1484"/>
      <c r="H106" s="1484"/>
      <c r="I106" s="1484"/>
      <c r="J106" s="1484"/>
      <c r="K106" s="1484"/>
      <c r="L106" s="1484"/>
      <c r="M106" s="1484"/>
      <c r="N106" s="1484"/>
      <c r="O106" s="1484"/>
      <c r="P106" s="1484"/>
      <c r="Q106" s="1484"/>
      <c r="R106" s="1484"/>
      <c r="S106" s="1484"/>
      <c r="T106" s="1484"/>
      <c r="U106" s="1484"/>
      <c r="V106" s="1484"/>
      <c r="W106" s="1484"/>
      <c r="X106" s="1484"/>
      <c r="Y106" s="1484"/>
      <c r="Z106" s="1484"/>
      <c r="AA106" s="1484"/>
      <c r="AB106" s="1484"/>
      <c r="AC106" s="1484"/>
      <c r="AD106" s="1484"/>
      <c r="AE106" s="1484"/>
      <c r="AF106" s="1484"/>
      <c r="AG106" s="1484"/>
      <c r="AH106" s="1484"/>
      <c r="AI106" s="1484"/>
      <c r="AJ106" s="1484"/>
      <c r="AK106" s="1484"/>
      <c r="AL106" s="1484"/>
      <c r="AM106" s="1484"/>
      <c r="AN106" s="1484"/>
      <c r="AO106" s="1484"/>
      <c r="AP106" s="1484"/>
      <c r="AQ106" s="1484"/>
      <c r="AR106" s="1484"/>
      <c r="AS106" s="1484"/>
      <c r="AT106" s="1484"/>
      <c r="AU106" s="20"/>
      <c r="AV106" s="20"/>
      <c r="AW106" s="20"/>
      <c r="AX106" s="20"/>
      <c r="AY106" s="20"/>
      <c r="BD106" s="3" t="s">
        <v>2542</v>
      </c>
      <c r="BE106" s="1183" t="b">
        <f t="shared" ref="BE106:BE110" si="0">V225="Yes"</f>
        <v>0</v>
      </c>
    </row>
    <row r="107" spans="1:57" ht="12.95" customHeight="1">
      <c r="A107" s="517"/>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c r="BD107" s="3" t="s">
        <v>2543</v>
      </c>
      <c r="BE107" s="1183" t="b">
        <f t="shared" si="0"/>
        <v>0</v>
      </c>
    </row>
    <row r="108" spans="1:57" ht="12.95" customHeight="1">
      <c r="A108" s="517" t="s">
        <v>2121</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c r="BD108" s="3" t="s">
        <v>2544</v>
      </c>
      <c r="BE108" s="1183" t="b">
        <f t="shared" si="0"/>
        <v>0</v>
      </c>
    </row>
    <row r="109" spans="1:57"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c r="BD109" s="3" t="s">
        <v>2545</v>
      </c>
      <c r="BE109" s="1183" t="b">
        <f t="shared" si="0"/>
        <v>0</v>
      </c>
    </row>
    <row r="110" spans="1:57" ht="12.95" customHeight="1">
      <c r="A110" s="517"/>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c r="BD110" s="3" t="s">
        <v>2546</v>
      </c>
      <c r="BE110" s="1183" t="b">
        <f t="shared" si="0"/>
        <v>0</v>
      </c>
    </row>
    <row r="111" spans="1:57" ht="12.95" customHeight="1">
      <c r="A111" s="517"/>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2.95" customHeight="1">
      <c r="A112" s="517"/>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2.95" customHeight="1">
      <c r="A113" s="289"/>
      <c r="C113" s="3" t="s">
        <v>181</v>
      </c>
      <c r="G113" s="1461">
        <v>14</v>
      </c>
      <c r="H113" s="1461"/>
      <c r="I113" s="3" t="s">
        <v>182</v>
      </c>
      <c r="L113" s="1461" t="s">
        <v>2653</v>
      </c>
      <c r="M113" s="1461"/>
      <c r="N113" s="1461"/>
      <c r="O113" s="1461"/>
      <c r="P113" s="1469" t="s">
        <v>2605</v>
      </c>
      <c r="Q113" s="1469"/>
      <c r="R113" s="1469"/>
      <c r="S113" s="1469"/>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2.9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2.95" customHeight="1">
      <c r="A115" s="91"/>
      <c r="C115" s="1475" t="s">
        <v>2648</v>
      </c>
      <c r="D115" s="1475"/>
      <c r="E115" s="1475"/>
      <c r="F115" s="1475"/>
      <c r="G115" s="1475"/>
      <c r="H115" s="1475"/>
      <c r="I115" s="1475"/>
      <c r="J115" s="1475"/>
      <c r="K115" s="1475"/>
      <c r="L115" s="202" t="s">
        <v>627</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2.9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2.95" customHeight="1">
      <c r="A117" s="91"/>
      <c r="B117" s="22"/>
      <c r="C117" s="22"/>
      <c r="X117" s="3" t="s">
        <v>628</v>
      </c>
      <c r="Y117" s="1461"/>
      <c r="Z117" s="1461"/>
      <c r="AA117" s="1461"/>
      <c r="AB117" s="1461"/>
      <c r="AC117" s="1461"/>
      <c r="AD117" s="1461"/>
      <c r="AE117" s="1461"/>
      <c r="AF117" s="1461"/>
      <c r="AG117" s="1461"/>
      <c r="AH117" s="1461"/>
      <c r="AI117" s="1461"/>
      <c r="AJ117" s="1461"/>
      <c r="AK117" s="1461"/>
    </row>
    <row r="118" spans="1:117" ht="12.95" customHeight="1">
      <c r="X118" s="3"/>
      <c r="Y118" s="3"/>
      <c r="Z118" s="3" t="s">
        <v>629</v>
      </c>
      <c r="AA118" s="3"/>
      <c r="AB118" s="3"/>
      <c r="AC118" s="3"/>
      <c r="AD118" s="3"/>
      <c r="AE118" s="3"/>
      <c r="AF118" s="3"/>
      <c r="AG118" s="3"/>
      <c r="AH118" s="3"/>
      <c r="AI118" s="3"/>
      <c r="AJ118" s="3"/>
      <c r="AK118" s="3"/>
    </row>
    <row r="119" spans="1:117" ht="12.9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2.95" customHeight="1">
      <c r="A120" s="91"/>
      <c r="B120" s="3"/>
      <c r="P120" s="3"/>
      <c r="Q120" s="3"/>
      <c r="R120" s="3"/>
      <c r="S120" s="3"/>
      <c r="T120" s="3"/>
      <c r="U120" s="3"/>
      <c r="V120" s="3"/>
      <c r="W120" s="3"/>
      <c r="X120" s="3"/>
      <c r="Y120" s="1461" t="s">
        <v>2654</v>
      </c>
      <c r="Z120" s="1461"/>
      <c r="AA120" s="1461"/>
      <c r="AB120" s="1461"/>
      <c r="AC120" s="1461"/>
      <c r="AD120" s="1461"/>
      <c r="AE120" s="1461"/>
      <c r="AF120" s="1461"/>
      <c r="AG120" s="1461"/>
      <c r="AH120" s="1461"/>
      <c r="AI120" s="1461"/>
      <c r="AJ120" s="1461"/>
      <c r="AK120" s="1461"/>
      <c r="AL120" s="3"/>
      <c r="AM120" s="3"/>
      <c r="AN120" s="3"/>
      <c r="AO120" s="3"/>
      <c r="AP120" s="3"/>
      <c r="AQ120" s="3"/>
      <c r="AR120" s="3"/>
      <c r="AS120" s="3"/>
      <c r="AT120" s="3"/>
      <c r="AU120" s="3"/>
      <c r="AV120" s="3"/>
      <c r="AW120" s="3"/>
      <c r="AX120" s="3"/>
      <c r="AY120" s="3"/>
    </row>
    <row r="121" spans="1:117" ht="12.95" customHeight="1">
      <c r="A121" s="3"/>
      <c r="B121" s="3"/>
      <c r="P121" s="3"/>
      <c r="Q121" s="3"/>
      <c r="R121" s="3"/>
      <c r="S121" s="3"/>
      <c r="T121" s="3"/>
      <c r="U121" s="3"/>
      <c r="V121" s="3"/>
      <c r="W121" s="3"/>
      <c r="X121" s="3"/>
      <c r="Y121" s="3"/>
      <c r="Z121" s="3" t="s">
        <v>630</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2.95" customHeight="1">
      <c r="A122" s="3"/>
      <c r="B122" s="3"/>
      <c r="T122" s="3"/>
      <c r="U122" s="3"/>
      <c r="V122" s="3"/>
      <c r="W122" s="3"/>
      <c r="AL122" s="3"/>
      <c r="AM122" s="3"/>
      <c r="AN122" s="3"/>
      <c r="AO122" s="3"/>
      <c r="AP122" s="3"/>
      <c r="AQ122" s="3"/>
      <c r="AR122" s="3"/>
      <c r="AS122" s="3"/>
      <c r="AT122" s="3"/>
      <c r="AU122" s="3"/>
      <c r="AV122" s="3"/>
      <c r="AW122" s="3"/>
      <c r="AX122" s="3"/>
      <c r="AY122" s="3"/>
      <c r="CQ122" s="14" t="s">
        <v>632</v>
      </c>
      <c r="CR122" s="14"/>
      <c r="CS122" s="14"/>
      <c r="CT122" s="14"/>
      <c r="CU122" s="1616" t="s">
        <v>469</v>
      </c>
      <c r="CV122" s="1617"/>
      <c r="CW122" s="14"/>
      <c r="CX122" s="14" t="s">
        <v>634</v>
      </c>
      <c r="CY122" s="14"/>
      <c r="CZ122" s="14"/>
      <c r="DA122" s="14"/>
      <c r="DB122" s="14"/>
      <c r="DC122" s="14"/>
      <c r="DD122" s="14"/>
      <c r="DE122" s="14"/>
      <c r="DF122" s="14"/>
      <c r="DG122" s="1613" t="str">
        <f>T189</f>
        <v>Contra Costa</v>
      </c>
      <c r="DH122" s="1614"/>
      <c r="DI122" s="1614"/>
      <c r="DJ122" s="1614"/>
      <c r="DK122" s="1614"/>
      <c r="DL122" s="1614"/>
      <c r="DM122" s="1615"/>
    </row>
    <row r="123" spans="1:117" ht="12.95" customHeight="1">
      <c r="A123" s="3"/>
      <c r="B123" s="3"/>
      <c r="T123" s="3"/>
      <c r="U123" s="3"/>
      <c r="V123" s="3"/>
      <c r="W123" s="3"/>
      <c r="X123" s="3"/>
      <c r="Y123" s="1461" t="s">
        <v>2655</v>
      </c>
      <c r="Z123" s="1461"/>
      <c r="AA123" s="1461"/>
      <c r="AB123" s="1461"/>
      <c r="AC123" s="1461"/>
      <c r="AD123" s="1461"/>
      <c r="AE123" s="1461"/>
      <c r="AF123" s="1461"/>
      <c r="AG123" s="1461"/>
      <c r="AH123" s="1461"/>
      <c r="AI123" s="1461"/>
      <c r="AJ123" s="1461"/>
      <c r="AK123" s="1461"/>
      <c r="AL123" s="3"/>
      <c r="AM123" s="3"/>
      <c r="AN123" s="3"/>
      <c r="AO123" s="3"/>
      <c r="AP123" s="3"/>
      <c r="AQ123" s="3"/>
      <c r="AR123" s="3"/>
      <c r="AS123" s="3"/>
      <c r="AT123" s="3"/>
      <c r="AU123" s="3"/>
      <c r="AV123" s="3"/>
      <c r="AW123" s="3"/>
      <c r="AX123" s="3"/>
      <c r="AY123" s="3"/>
      <c r="DJ123" s="3"/>
      <c r="DK123" s="3"/>
      <c r="DL123" s="3"/>
      <c r="DM123" s="3"/>
    </row>
    <row r="124" spans="1:117" ht="12.95" customHeight="1">
      <c r="A124" s="3"/>
      <c r="B124" s="3"/>
      <c r="T124" s="3"/>
      <c r="U124" s="3"/>
      <c r="V124" s="3"/>
      <c r="W124" s="3"/>
      <c r="X124" s="3"/>
      <c r="Y124" s="3"/>
      <c r="Z124" s="3" t="s">
        <v>631</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469</v>
      </c>
      <c r="CV124" s="14"/>
      <c r="CW124" s="14"/>
      <c r="CX124" s="14"/>
      <c r="CY124" s="14"/>
      <c r="CZ124" s="14"/>
      <c r="DA124" s="14"/>
      <c r="DB124" s="14"/>
      <c r="DE124" s="32"/>
      <c r="DF124" s="32"/>
      <c r="DG124" s="32"/>
      <c r="DH124" s="32"/>
      <c r="DI124" s="32"/>
      <c r="DJ124" s="14"/>
      <c r="DK124" s="14"/>
      <c r="DL124" s="14"/>
      <c r="DM124" s="14"/>
    </row>
    <row r="125" spans="1:117" ht="12.95"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468</v>
      </c>
      <c r="CV125" s="4"/>
      <c r="CW125" s="14"/>
      <c r="CX125" s="14"/>
      <c r="CY125" s="14"/>
      <c r="CZ125" s="14"/>
      <c r="DA125" s="14"/>
      <c r="DB125" s="14"/>
      <c r="DE125" s="4"/>
      <c r="DF125" s="4"/>
      <c r="DG125" s="4"/>
      <c r="DH125" s="4"/>
      <c r="DI125" s="4"/>
      <c r="DJ125" s="4"/>
      <c r="DK125" s="4"/>
      <c r="DL125" s="4"/>
      <c r="DM125" s="4"/>
    </row>
    <row r="126" spans="1:117" ht="12.95"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2.95"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469</v>
      </c>
      <c r="DD127" s="4"/>
      <c r="DE127" s="4"/>
      <c r="DF127" s="4"/>
      <c r="DG127" s="4"/>
      <c r="DH127" s="4"/>
      <c r="DI127" s="4"/>
      <c r="DJ127" s="4"/>
      <c r="DK127" s="4"/>
      <c r="DL127" s="4"/>
      <c r="DM127" s="4"/>
    </row>
    <row r="128" spans="1:117" ht="12.95" customHeight="1">
      <c r="A128" s="354"/>
      <c r="AL128" s="354"/>
      <c r="AM128" s="354"/>
      <c r="AN128" s="354"/>
      <c r="AO128" s="354"/>
      <c r="AP128" s="354"/>
      <c r="AQ128" s="354"/>
      <c r="AR128" s="354"/>
      <c r="AS128" s="354"/>
      <c r="AT128" s="354"/>
      <c r="AU128" s="354"/>
      <c r="AV128" s="354"/>
      <c r="AW128" s="354"/>
      <c r="AX128" s="354"/>
      <c r="AY128" s="354"/>
    </row>
    <row r="129" spans="1:51" ht="12.95" customHeight="1">
      <c r="A129" s="354"/>
      <c r="B129" s="4"/>
      <c r="R129" s="6"/>
      <c r="S129" s="6"/>
      <c r="T129" s="6"/>
      <c r="U129" s="6"/>
      <c r="V129" s="6"/>
      <c r="W129" s="6"/>
      <c r="AL129" s="354"/>
      <c r="AM129" s="354"/>
      <c r="AN129" s="354"/>
      <c r="AO129" s="354"/>
      <c r="AP129" s="354"/>
      <c r="AQ129" s="354"/>
      <c r="AR129" s="354"/>
      <c r="AS129" s="354"/>
      <c r="AT129" s="354"/>
      <c r="AU129" s="354"/>
      <c r="AV129" s="354"/>
      <c r="AW129" s="354"/>
      <c r="AX129" s="354"/>
      <c r="AY129" s="354"/>
    </row>
    <row r="130" spans="1:51" ht="12.95"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5" customHeight="1">
      <c r="A131" s="3"/>
      <c r="AL131" s="3"/>
      <c r="AM131" s="3"/>
      <c r="AN131" s="3"/>
      <c r="AO131" s="3"/>
      <c r="AP131" s="3"/>
      <c r="AQ131" s="3"/>
      <c r="AR131" s="3"/>
      <c r="AS131" s="3"/>
      <c r="AT131" s="3"/>
      <c r="AU131" s="3"/>
      <c r="AV131" s="3"/>
      <c r="AW131" s="3"/>
      <c r="AX131" s="3"/>
      <c r="AY131" s="3"/>
    </row>
    <row r="132" spans="1:51" ht="12.95" customHeight="1">
      <c r="A132" s="3"/>
      <c r="B132" s="3"/>
      <c r="C132" s="3"/>
      <c r="D132" s="3"/>
      <c r="F132" s="202"/>
      <c r="G132" s="202"/>
      <c r="H132" s="202"/>
      <c r="I132" s="202"/>
      <c r="J132" s="202"/>
      <c r="K132" s="202"/>
      <c r="L132" s="202"/>
      <c r="M132" s="202"/>
      <c r="N132" s="3"/>
      <c r="P132" s="3"/>
      <c r="Q132" s="3"/>
      <c r="U132" s="3"/>
      <c r="V132" s="3"/>
      <c r="W132" s="3"/>
      <c r="AL132" s="3"/>
      <c r="AM132" s="3"/>
      <c r="AN132" s="3"/>
      <c r="AO132" s="3"/>
      <c r="AP132" s="3"/>
      <c r="AQ132" s="3"/>
      <c r="AR132" s="3"/>
      <c r="AS132" s="3"/>
      <c r="AT132" s="3"/>
      <c r="AU132" s="3"/>
      <c r="AV132" s="3"/>
      <c r="AW132" s="3"/>
      <c r="AX132" s="3"/>
      <c r="AY132" s="3"/>
    </row>
    <row r="133" spans="1:51" ht="12.95" customHeight="1">
      <c r="A133" s="3"/>
      <c r="W133" s="3"/>
      <c r="AL133" s="3"/>
      <c r="AM133" s="3"/>
      <c r="AN133" s="3"/>
      <c r="AO133" s="3"/>
      <c r="AP133" s="3"/>
      <c r="AQ133" s="3"/>
      <c r="AR133" s="3"/>
      <c r="AS133" s="3"/>
      <c r="AT133" s="3"/>
      <c r="AU133" s="3"/>
      <c r="AV133" s="3"/>
      <c r="AW133" s="3"/>
      <c r="AX133" s="3"/>
      <c r="AY133" s="3"/>
    </row>
    <row r="134" spans="1:51" ht="12.9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customHeight="1">
      <c r="A135" s="3"/>
      <c r="M135" s="3"/>
      <c r="N135" s="3"/>
      <c r="O135" s="3"/>
      <c r="AK135" s="3"/>
      <c r="AL135" s="3"/>
      <c r="AM135" s="3"/>
      <c r="AN135" s="3"/>
      <c r="AO135" s="3"/>
      <c r="AP135" s="3"/>
      <c r="AQ135" s="3"/>
      <c r="AR135" s="3"/>
      <c r="AS135" s="3"/>
      <c r="AT135" s="3"/>
      <c r="AU135" s="3"/>
      <c r="AV135" s="3"/>
      <c r="AW135" s="3"/>
      <c r="AX135" s="3"/>
      <c r="AY135" s="3"/>
    </row>
    <row r="136" spans="1:51" ht="12.9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customHeight="1">
      <c r="A139" s="3"/>
      <c r="B139" s="3"/>
      <c r="C139" s="3"/>
      <c r="D139" s="3"/>
      <c r="E139" s="3"/>
      <c r="F139" s="3"/>
      <c r="G139" s="3"/>
      <c r="H139" s="3"/>
      <c r="I139" s="3"/>
      <c r="J139" s="3"/>
      <c r="K139" s="3"/>
      <c r="L139" s="3"/>
      <c r="M139" s="3"/>
      <c r="N139" s="3"/>
      <c r="O139" s="3"/>
      <c r="P139" s="3"/>
      <c r="Q139" s="3"/>
      <c r="R139" s="3"/>
      <c r="S139" s="118"/>
      <c r="T139" s="455"/>
      <c r="U139" s="455"/>
      <c r="V139" s="455"/>
      <c r="W139" s="455"/>
      <c r="X139" s="455"/>
      <c r="Y139" s="455"/>
      <c r="Z139" s="455"/>
      <c r="AA139" s="455"/>
      <c r="AB139" s="455"/>
      <c r="AC139" s="455"/>
      <c r="AD139" s="455"/>
      <c r="AE139" s="455"/>
      <c r="AF139" s="455"/>
      <c r="AG139" s="455"/>
      <c r="AH139" s="455"/>
      <c r="AI139" s="455"/>
      <c r="AJ139" s="455"/>
      <c r="AK139" s="3"/>
      <c r="AL139" s="3"/>
      <c r="AM139" s="3"/>
      <c r="AN139" s="3"/>
      <c r="AO139" s="3"/>
      <c r="AP139" s="3"/>
      <c r="AQ139" s="3"/>
      <c r="AR139" s="3"/>
      <c r="AS139" s="3"/>
      <c r="AT139" s="3"/>
      <c r="AU139" s="3"/>
      <c r="AV139" s="3"/>
      <c r="AW139" s="3"/>
      <c r="AX139" s="3"/>
      <c r="AY139" s="3"/>
    </row>
    <row r="140" spans="1:51" ht="12.95" customHeight="1">
      <c r="A140" s="3"/>
      <c r="B140" s="119"/>
      <c r="C140" s="455"/>
      <c r="D140" s="455"/>
      <c r="E140" s="455"/>
      <c r="F140" s="455"/>
      <c r="G140" s="455"/>
      <c r="H140" s="455"/>
      <c r="I140" s="455"/>
      <c r="J140" s="455"/>
      <c r="K140" s="455"/>
      <c r="L140" s="455"/>
      <c r="M140" s="455"/>
      <c r="N140" s="455"/>
      <c r="O140" s="455"/>
      <c r="P140" s="455"/>
      <c r="Q140" s="455"/>
      <c r="R140" s="455"/>
      <c r="S140" s="455"/>
      <c r="T140" s="455"/>
      <c r="U140" s="455"/>
      <c r="V140" s="455"/>
      <c r="W140" s="455"/>
      <c r="X140" s="455"/>
      <c r="Y140" s="455"/>
      <c r="Z140" s="455"/>
      <c r="AA140" s="455"/>
      <c r="AB140" s="455"/>
      <c r="AC140" s="455"/>
      <c r="AD140" s="455"/>
      <c r="AE140" s="455"/>
      <c r="AF140" s="455"/>
      <c r="AG140" s="455"/>
      <c r="AH140" s="455"/>
      <c r="AI140" s="455"/>
      <c r="AJ140" s="455"/>
      <c r="AK140" s="3"/>
      <c r="AL140" s="3"/>
      <c r="AM140" s="3"/>
      <c r="AN140" s="3"/>
      <c r="AO140" s="3"/>
      <c r="AP140" s="3"/>
      <c r="AQ140" s="3"/>
      <c r="AR140" s="3"/>
      <c r="AS140" s="3"/>
      <c r="AT140" s="3"/>
      <c r="AU140" s="3"/>
      <c r="AV140" s="3"/>
      <c r="AW140" s="3"/>
      <c r="AX140" s="3"/>
      <c r="AY140" s="3"/>
    </row>
    <row r="141" spans="1:51" ht="12.95" customHeight="1">
      <c r="A141" s="3"/>
      <c r="B141" s="119"/>
      <c r="C141" s="455"/>
      <c r="D141" s="455"/>
      <c r="E141" s="455"/>
      <c r="F141" s="455"/>
      <c r="G141" s="455"/>
      <c r="H141" s="455"/>
      <c r="I141" s="455"/>
      <c r="J141" s="455"/>
      <c r="K141" s="455"/>
      <c r="L141" s="455"/>
      <c r="M141" s="455"/>
      <c r="N141" s="455"/>
      <c r="O141" s="455"/>
      <c r="P141" s="455"/>
      <c r="Q141" s="455"/>
      <c r="R141" s="455"/>
      <c r="S141" s="455"/>
      <c r="T141" s="455"/>
      <c r="U141" s="455"/>
      <c r="V141" s="455"/>
      <c r="W141" s="455"/>
      <c r="X141" s="455"/>
      <c r="Y141" s="455"/>
      <c r="Z141" s="455"/>
      <c r="AA141" s="455"/>
      <c r="AB141" s="455"/>
      <c r="AC141" s="455"/>
      <c r="AD141" s="455"/>
      <c r="AE141" s="455"/>
      <c r="AF141" s="455"/>
      <c r="AG141" s="455"/>
      <c r="AH141" s="455"/>
      <c r="AI141" s="455"/>
      <c r="AJ141" s="455"/>
      <c r="AK141" s="3"/>
      <c r="AL141" s="3"/>
      <c r="AM141" s="3"/>
      <c r="AN141" s="3"/>
      <c r="AO141" s="3"/>
      <c r="AP141" s="3"/>
      <c r="AQ141" s="3"/>
      <c r="AR141" s="3"/>
      <c r="AS141" s="3"/>
      <c r="AT141" s="3"/>
      <c r="AU141" s="3"/>
      <c r="AV141" s="3"/>
      <c r="AW141" s="3"/>
      <c r="AX141" s="3"/>
      <c r="AY141" s="3"/>
    </row>
    <row r="142" spans="1:51" ht="12.95" customHeight="1">
      <c r="A142" s="3"/>
      <c r="B142" s="119"/>
      <c r="C142" s="441"/>
      <c r="D142" s="441"/>
      <c r="E142" s="441"/>
      <c r="F142" s="441"/>
      <c r="G142" s="441"/>
      <c r="H142" s="441"/>
      <c r="I142" s="441"/>
      <c r="J142" s="441"/>
      <c r="K142" s="441"/>
      <c r="L142" s="441"/>
      <c r="M142" s="441"/>
      <c r="N142" s="441"/>
      <c r="O142" s="441"/>
      <c r="P142" s="441"/>
      <c r="Q142" s="441"/>
      <c r="R142" s="441"/>
      <c r="S142" s="441"/>
      <c r="T142" s="441"/>
      <c r="U142" s="441"/>
      <c r="V142" s="441"/>
      <c r="W142" s="441"/>
      <c r="X142" s="441"/>
      <c r="Y142" s="441"/>
      <c r="Z142" s="441"/>
      <c r="AA142" s="441"/>
      <c r="AB142" s="441"/>
      <c r="AC142" s="441"/>
      <c r="AD142" s="441"/>
      <c r="AE142" s="441"/>
      <c r="AF142" s="441"/>
      <c r="AG142" s="441"/>
      <c r="AH142" s="441"/>
      <c r="AI142" s="441"/>
      <c r="AJ142" s="441"/>
      <c r="AK142" s="3"/>
      <c r="AL142" s="3"/>
      <c r="AM142" s="3"/>
      <c r="AN142" s="3"/>
      <c r="AO142" s="3"/>
      <c r="AP142" s="3"/>
      <c r="AQ142" s="3"/>
      <c r="AR142" s="3"/>
      <c r="AS142" s="3"/>
      <c r="AT142" s="3"/>
      <c r="AU142" s="3"/>
      <c r="AV142" s="3"/>
      <c r="AW142" s="3"/>
      <c r="AX142" s="3"/>
      <c r="AY142" s="3"/>
    </row>
    <row r="143" spans="1:51" ht="12.95" customHeight="1">
      <c r="A143" s="3"/>
      <c r="D143" s="441"/>
      <c r="E143" s="441"/>
      <c r="F143" s="441"/>
      <c r="G143" s="441"/>
      <c r="H143" s="441"/>
      <c r="I143" s="441"/>
      <c r="J143" s="441"/>
      <c r="K143" s="441"/>
      <c r="L143" s="441"/>
      <c r="M143" s="441"/>
      <c r="N143" s="441"/>
      <c r="O143" s="441"/>
      <c r="P143" s="441"/>
      <c r="Q143" s="441"/>
      <c r="R143" s="441"/>
      <c r="S143" s="441"/>
      <c r="T143" s="441"/>
      <c r="U143" s="441"/>
      <c r="V143" s="441"/>
      <c r="W143" s="441"/>
      <c r="X143" s="441"/>
      <c r="Y143" s="441"/>
      <c r="Z143" s="441"/>
      <c r="AA143" s="441"/>
      <c r="AB143" s="441"/>
      <c r="AC143" s="441"/>
      <c r="AD143" s="441"/>
      <c r="AE143" s="441"/>
      <c r="AF143" s="441"/>
      <c r="AG143" s="441"/>
      <c r="AH143" s="441"/>
      <c r="AI143" s="441"/>
      <c r="AJ143" s="441"/>
      <c r="AK143" s="3"/>
      <c r="AL143" s="3"/>
      <c r="AM143" s="3"/>
      <c r="AN143" s="3"/>
      <c r="AO143" s="3"/>
      <c r="AP143" s="3"/>
      <c r="AQ143" s="3"/>
      <c r="AR143" s="3"/>
      <c r="AS143" s="3"/>
      <c r="AT143" s="3"/>
      <c r="AU143" s="3"/>
      <c r="AV143" s="3"/>
      <c r="AW143" s="3"/>
      <c r="AX143" s="3"/>
      <c r="AY143" s="3"/>
    </row>
    <row r="144" spans="1:51" ht="12.95" customHeight="1">
      <c r="A144" s="3"/>
      <c r="B144" s="519"/>
      <c r="C144" s="441"/>
      <c r="D144" s="441"/>
      <c r="E144" s="441"/>
      <c r="F144" s="441"/>
      <c r="G144" s="441"/>
      <c r="H144" s="441"/>
      <c r="I144" s="441"/>
      <c r="J144" s="441"/>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1"/>
      <c r="AJ144" s="441"/>
      <c r="AK144" s="3"/>
      <c r="AL144" s="3"/>
      <c r="AM144" s="3"/>
      <c r="AN144" s="3"/>
      <c r="AO144" s="3"/>
      <c r="AP144" s="3"/>
      <c r="AQ144" s="3"/>
      <c r="AR144" s="3"/>
      <c r="AS144" s="3"/>
      <c r="AT144" s="3"/>
      <c r="AU144" s="3"/>
      <c r="AV144" s="3"/>
      <c r="AW144" s="3"/>
      <c r="AX144" s="3"/>
      <c r="AY144" s="3"/>
    </row>
    <row r="145" spans="1:108" ht="12.95" customHeight="1">
      <c r="A145" s="3"/>
      <c r="B145" s="3"/>
      <c r="C145" s="441"/>
      <c r="D145" s="441"/>
      <c r="E145" s="441"/>
      <c r="F145" s="441"/>
      <c r="G145" s="441"/>
      <c r="H145" s="441"/>
      <c r="I145" s="441"/>
      <c r="J145" s="441"/>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1"/>
      <c r="AJ145" s="441"/>
      <c r="AK145" s="3"/>
      <c r="AL145" s="3"/>
      <c r="AM145" s="3"/>
      <c r="AN145" s="3"/>
      <c r="AO145" s="3"/>
      <c r="AP145" s="3"/>
      <c r="AQ145" s="3"/>
      <c r="AR145" s="3"/>
      <c r="AS145" s="3"/>
      <c r="AT145" s="3"/>
      <c r="AU145" s="3"/>
      <c r="AV145" s="3"/>
      <c r="AW145" s="3"/>
      <c r="AX145" s="3"/>
      <c r="AY145" s="3"/>
    </row>
    <row r="146" spans="1:108" ht="12.95" customHeight="1">
      <c r="A146" s="3"/>
      <c r="D146" s="441"/>
      <c r="E146" s="441"/>
      <c r="F146" s="441"/>
      <c r="G146" s="441"/>
      <c r="H146" s="441"/>
      <c r="I146" s="441"/>
      <c r="J146" s="441"/>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1"/>
      <c r="AJ146" s="441"/>
      <c r="AK146" s="3"/>
      <c r="AL146" s="3"/>
      <c r="AM146" s="3"/>
      <c r="AN146" s="3"/>
      <c r="AO146" s="3"/>
      <c r="AP146" s="3"/>
      <c r="AQ146" s="3"/>
      <c r="AR146" s="3"/>
      <c r="AS146" s="3"/>
      <c r="AT146" s="3"/>
      <c r="AU146" s="3"/>
      <c r="AV146" s="3"/>
      <c r="AW146" s="3"/>
      <c r="AX146" s="3"/>
      <c r="AY146" s="3"/>
    </row>
    <row r="147" spans="1:108" ht="12.95" customHeight="1">
      <c r="A147" s="3"/>
      <c r="B147" s="5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2.9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307</v>
      </c>
    </row>
    <row r="149" spans="1:108"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875</v>
      </c>
    </row>
    <row r="150" spans="1:108" ht="12.95" customHeight="1">
      <c r="A150" s="3"/>
      <c r="B150" s="3"/>
      <c r="D150" s="3"/>
      <c r="E150" s="3"/>
      <c r="F150" s="1356"/>
      <c r="G150" s="1356"/>
      <c r="H150" s="1356"/>
      <c r="I150" s="1356"/>
      <c r="J150" s="1356"/>
      <c r="K150" s="1356"/>
      <c r="L150" s="1356"/>
      <c r="M150" s="1356"/>
      <c r="N150" s="1356"/>
      <c r="O150" s="1356"/>
      <c r="P150" s="1356"/>
      <c r="Q150" s="1356"/>
      <c r="R150" s="1356"/>
      <c r="S150" s="1356"/>
      <c r="T150" s="1356"/>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2395</v>
      </c>
    </row>
    <row r="152" spans="1:108" ht="12.95" customHeight="1">
      <c r="BM152">
        <v>4</v>
      </c>
      <c r="BN152" s="3" t="s">
        <v>2394</v>
      </c>
    </row>
    <row r="153" spans="1:108" ht="12.95" customHeight="1">
      <c r="D153" t="s">
        <v>645</v>
      </c>
      <c r="O153" s="1358" t="s">
        <v>2656</v>
      </c>
      <c r="P153" s="1440"/>
      <c r="Q153" s="1440"/>
      <c r="R153" s="1440"/>
      <c r="S153" s="1440"/>
      <c r="T153" s="1440"/>
      <c r="U153" s="1440"/>
      <c r="V153" s="1440"/>
      <c r="W153" s="1440"/>
      <c r="X153" s="1440"/>
      <c r="Y153" s="1440"/>
      <c r="Z153" s="1440"/>
      <c r="AA153" s="1440"/>
      <c r="AB153" s="1440"/>
      <c r="AC153" s="1440"/>
      <c r="AD153" s="1440"/>
      <c r="AE153" s="1440"/>
      <c r="AF153" s="1440"/>
      <c r="AG153" s="1440"/>
      <c r="AH153" s="1440"/>
      <c r="BM153">
        <v>5</v>
      </c>
      <c r="BN153" s="3" t="s">
        <v>2396</v>
      </c>
      <c r="CR153" s="31" t="s">
        <v>2634</v>
      </c>
      <c r="CS153" s="32"/>
      <c r="CT153" s="32"/>
      <c r="CU153" s="32"/>
      <c r="CV153" s="32"/>
      <c r="CW153" s="32"/>
      <c r="CX153" s="14"/>
      <c r="CY153" s="31" t="s">
        <v>2635</v>
      </c>
      <c r="CZ153" s="14"/>
      <c r="DA153" s="14"/>
      <c r="DB153" s="14"/>
      <c r="DC153" s="14"/>
      <c r="DD153" s="14"/>
    </row>
    <row r="154" spans="1:108" ht="12.95" customHeight="1">
      <c r="D154" s="303" t="s">
        <v>439</v>
      </c>
      <c r="O154" s="1441" t="s">
        <v>2657</v>
      </c>
      <c r="P154" s="1416"/>
      <c r="Q154" s="1416"/>
      <c r="R154" s="1416"/>
      <c r="S154" s="1416"/>
      <c r="T154" s="1416"/>
      <c r="U154" s="1416"/>
      <c r="V154" s="1416"/>
      <c r="W154" s="1416"/>
      <c r="X154" s="1416"/>
      <c r="Y154" s="1416"/>
      <c r="Z154" s="1416"/>
      <c r="AA154" s="1416"/>
      <c r="AB154" s="1416"/>
      <c r="AC154" s="1416"/>
      <c r="AD154" s="1416"/>
      <c r="AE154" s="1416"/>
      <c r="AF154" s="1416"/>
      <c r="AG154" s="1416"/>
      <c r="AH154" s="1416"/>
      <c r="BM154">
        <v>6</v>
      </c>
      <c r="BN154" s="3" t="s">
        <v>2397</v>
      </c>
      <c r="CR154" s="31"/>
      <c r="CS154" s="32"/>
      <c r="CT154" s="32"/>
      <c r="CU154" s="32"/>
      <c r="CV154" s="32"/>
      <c r="CW154" s="32"/>
      <c r="CX154" s="14"/>
      <c r="CY154" s="31"/>
      <c r="CZ154" s="14"/>
      <c r="DA154" s="14"/>
      <c r="DB154" s="14"/>
      <c r="DC154" s="14"/>
      <c r="DD154" s="14"/>
    </row>
    <row r="155" spans="1:108" ht="12.95" customHeight="1">
      <c r="D155" s="8" t="s">
        <v>441</v>
      </c>
      <c r="F155" s="8"/>
      <c r="G155" s="8"/>
      <c r="H155" s="8"/>
      <c r="I155" s="8"/>
      <c r="J155" s="8"/>
      <c r="K155" s="8"/>
      <c r="L155" s="8"/>
      <c r="M155" s="8"/>
      <c r="N155" s="8"/>
      <c r="O155" s="1455" t="s">
        <v>440</v>
      </c>
      <c r="P155" s="1455"/>
      <c r="Q155" s="1455"/>
      <c r="R155" s="1455"/>
      <c r="S155" s="1455"/>
      <c r="T155" s="1455"/>
      <c r="U155" s="1455"/>
      <c r="V155" s="1455"/>
      <c r="W155" s="1455"/>
      <c r="X155" s="1455"/>
      <c r="Y155" s="1455"/>
      <c r="Z155" s="1455"/>
      <c r="AA155" s="1455"/>
      <c r="AB155" s="1455"/>
      <c r="AC155" s="1455"/>
      <c r="AD155" s="1455"/>
      <c r="AE155" s="1455"/>
      <c r="AF155" s="1455"/>
      <c r="AG155" s="1455"/>
      <c r="AH155" s="1455"/>
      <c r="BM155">
        <v>7</v>
      </c>
      <c r="BN155" s="3" t="s">
        <v>591</v>
      </c>
      <c r="CR155" s="31"/>
      <c r="CS155" s="32"/>
      <c r="CT155" s="32"/>
      <c r="CU155" s="32"/>
      <c r="CV155" s="32"/>
      <c r="CW155" s="32"/>
      <c r="CX155" s="14"/>
      <c r="CY155" s="31"/>
      <c r="CZ155" s="14"/>
      <c r="DA155" s="14"/>
      <c r="DB155" s="14"/>
      <c r="DC155" s="14"/>
      <c r="DD155" s="14"/>
    </row>
    <row r="156" spans="1:108" ht="12.95" customHeight="1">
      <c r="D156" t="s">
        <v>313</v>
      </c>
      <c r="O156" s="1358" t="s">
        <v>2658</v>
      </c>
      <c r="P156" s="1359"/>
      <c r="Q156" s="1359"/>
      <c r="R156" s="1359"/>
      <c r="S156" s="1359"/>
      <c r="T156" s="1359"/>
      <c r="U156" s="1359"/>
      <c r="V156" s="1359"/>
      <c r="W156" s="1359"/>
      <c r="X156" s="1359"/>
      <c r="Y156" s="1359"/>
      <c r="Z156" s="1359"/>
      <c r="AA156" s="1359"/>
      <c r="AB156" s="1359"/>
      <c r="AC156" s="1359"/>
      <c r="AD156" s="1359"/>
      <c r="AE156" s="1359"/>
      <c r="AF156" s="1359"/>
      <c r="AG156" s="1359"/>
      <c r="AH156" s="1359"/>
      <c r="BT156" t="s">
        <v>307</v>
      </c>
      <c r="CB156" s="195" t="s">
        <v>2534</v>
      </c>
      <c r="CC156" s="196"/>
      <c r="CD156" s="196"/>
      <c r="CE156" s="196"/>
      <c r="CF156" s="196"/>
      <c r="CG156" s="196"/>
      <c r="CH156" s="196"/>
      <c r="CI156" s="3"/>
      <c r="CJ156" s="195" t="s">
        <v>2532</v>
      </c>
      <c r="CK156" s="3"/>
      <c r="CL156" s="3"/>
      <c r="CM156" s="3"/>
      <c r="CN156" s="3"/>
      <c r="CR156" s="31"/>
      <c r="CS156" s="32"/>
      <c r="CT156" s="32"/>
      <c r="CU156" s="32"/>
      <c r="CV156" s="32"/>
      <c r="CW156" s="32"/>
      <c r="CX156" s="14"/>
      <c r="CY156" s="31"/>
      <c r="CZ156" s="14"/>
      <c r="DA156" s="14"/>
      <c r="DB156" s="14"/>
      <c r="DC156" s="14"/>
      <c r="DD156" s="14"/>
    </row>
    <row r="157" spans="1:108" ht="12.95" customHeight="1">
      <c r="D157" t="s">
        <v>314</v>
      </c>
      <c r="O157" s="1358" t="s">
        <v>2652</v>
      </c>
      <c r="P157" s="1440"/>
      <c r="Q157" s="1440"/>
      <c r="R157" s="1440"/>
      <c r="S157" s="1440"/>
      <c r="T157" s="1440"/>
      <c r="U157" s="1440"/>
      <c r="V157" s="1440"/>
      <c r="W157" s="1440"/>
      <c r="X157" s="1440"/>
      <c r="Y157" s="8"/>
      <c r="Z157" s="8"/>
      <c r="AA157" s="8"/>
      <c r="AB157" s="8"/>
      <c r="AC157" s="8"/>
      <c r="AD157" s="8"/>
      <c r="AE157" s="8"/>
      <c r="AF157" s="8"/>
      <c r="BN157" s="23" t="s">
        <v>636</v>
      </c>
      <c r="BS157">
        <v>2</v>
      </c>
      <c r="BT157" t="s">
        <v>476</v>
      </c>
      <c r="CB157" s="286" t="s">
        <v>647</v>
      </c>
      <c r="CC157" s="196"/>
      <c r="CD157" s="196"/>
      <c r="CE157" s="196"/>
      <c r="CF157" s="196"/>
      <c r="CG157" s="196"/>
      <c r="CH157" s="196"/>
      <c r="CI157" s="3"/>
      <c r="CJ157" s="286" t="s">
        <v>1905</v>
      </c>
      <c r="CK157" s="3"/>
      <c r="CL157" s="3"/>
      <c r="CM157" s="3"/>
      <c r="CN157" s="3"/>
      <c r="CR157" s="14"/>
      <c r="CS157" s="32"/>
      <c r="CT157" s="32"/>
      <c r="CU157" s="32"/>
      <c r="CV157" s="32"/>
      <c r="CW157" s="32"/>
      <c r="CX157" s="14"/>
      <c r="CY157" s="14"/>
      <c r="CZ157" s="14"/>
      <c r="DA157" s="14"/>
      <c r="DB157" s="14"/>
      <c r="DC157" s="14"/>
      <c r="DD157" s="14"/>
    </row>
    <row r="158" spans="1:108" ht="12.95" customHeight="1">
      <c r="D158" t="s">
        <v>315</v>
      </c>
      <c r="O158" s="1487">
        <v>94556</v>
      </c>
      <c r="P158" s="1487"/>
      <c r="Q158" s="1487"/>
      <c r="R158" s="1487"/>
      <c r="S158" s="9"/>
      <c r="T158" s="9"/>
      <c r="U158" s="9"/>
      <c r="V158" s="9"/>
      <c r="W158" s="9"/>
      <c r="X158" s="9"/>
      <c r="Y158" s="9"/>
      <c r="Z158" s="9"/>
      <c r="AA158" s="9"/>
      <c r="AB158" s="9"/>
      <c r="AC158" s="9"/>
      <c r="AD158" s="9"/>
      <c r="AE158" s="9"/>
      <c r="AF158" s="9"/>
      <c r="BN158" s="23" t="s">
        <v>637</v>
      </c>
      <c r="BS158">
        <v>7</v>
      </c>
      <c r="BT158" t="s">
        <v>477</v>
      </c>
      <c r="CB158" s="284"/>
      <c r="CC158" s="197"/>
      <c r="CD158" s="285"/>
      <c r="CE158" s="285"/>
      <c r="CF158" s="285"/>
      <c r="CG158" s="285"/>
      <c r="CH158" s="285"/>
      <c r="CI158" s="3"/>
      <c r="CJ158" s="3"/>
      <c r="CK158" s="3"/>
      <c r="CL158" s="3"/>
      <c r="CM158" s="3"/>
      <c r="CN158" s="3"/>
      <c r="CR158" s="14"/>
      <c r="CS158" s="32"/>
      <c r="CT158" s="32"/>
      <c r="CU158" s="32"/>
      <c r="CV158" s="32"/>
      <c r="CW158" s="32"/>
      <c r="CX158" s="14"/>
      <c r="CY158" s="14"/>
      <c r="CZ158" s="14"/>
      <c r="DA158" s="14"/>
      <c r="DB158" s="14"/>
      <c r="DC158" s="14"/>
      <c r="DD158" s="14"/>
    </row>
    <row r="159" spans="1:108" ht="12.95" customHeight="1" thickBot="1">
      <c r="D159" t="s">
        <v>316</v>
      </c>
      <c r="O159" s="1451" t="s">
        <v>2659</v>
      </c>
      <c r="P159" s="1462"/>
      <c r="Q159" s="1462"/>
      <c r="R159" s="1462"/>
      <c r="S159" s="1462"/>
      <c r="T159" s="1462"/>
      <c r="V159" s="97" t="s">
        <v>271</v>
      </c>
      <c r="W159" s="1488"/>
      <c r="X159" s="1488"/>
      <c r="Y159" s="10"/>
      <c r="Z159" s="10"/>
      <c r="AA159" s="10"/>
      <c r="AB159" s="10"/>
      <c r="AC159" s="10"/>
      <c r="AD159" s="10"/>
      <c r="AE159" s="10"/>
      <c r="AF159" s="10"/>
      <c r="BN159" s="23" t="s">
        <v>339</v>
      </c>
      <c r="BS159">
        <v>7</v>
      </c>
      <c r="BT159" t="s">
        <v>478</v>
      </c>
      <c r="CB159" s="347" t="s">
        <v>648</v>
      </c>
      <c r="CC159" s="348" t="s">
        <v>324</v>
      </c>
      <c r="CD159" s="348" t="s">
        <v>325</v>
      </c>
      <c r="CE159" s="348" t="s">
        <v>163</v>
      </c>
      <c r="CF159" s="348" t="s">
        <v>164</v>
      </c>
      <c r="CG159" s="348" t="s">
        <v>165</v>
      </c>
      <c r="CH159" s="348" t="s">
        <v>30</v>
      </c>
      <c r="CI159" s="3"/>
      <c r="CJ159" s="348" t="s">
        <v>324</v>
      </c>
      <c r="CK159" s="348" t="s">
        <v>325</v>
      </c>
      <c r="CL159" s="348" t="s">
        <v>163</v>
      </c>
      <c r="CM159" s="348" t="s">
        <v>164</v>
      </c>
      <c r="CN159" s="348" t="s">
        <v>165</v>
      </c>
      <c r="CR159" s="14"/>
      <c r="CS159" s="71" t="s">
        <v>633</v>
      </c>
      <c r="CT159" s="72" t="s">
        <v>325</v>
      </c>
      <c r="CU159" s="72" t="s">
        <v>163</v>
      </c>
      <c r="CV159" s="72" t="s">
        <v>164</v>
      </c>
      <c r="CW159" s="72" t="s">
        <v>460</v>
      </c>
      <c r="CX159" s="14"/>
      <c r="CY159" s="14"/>
      <c r="CZ159" s="71" t="s">
        <v>633</v>
      </c>
      <c r="DA159" s="72" t="s">
        <v>325</v>
      </c>
      <c r="DB159" s="72" t="s">
        <v>163</v>
      </c>
      <c r="DC159" s="72" t="s">
        <v>164</v>
      </c>
      <c r="DD159" s="72" t="s">
        <v>460</v>
      </c>
    </row>
    <row r="160" spans="1:108" ht="12.95" customHeight="1">
      <c r="D160" t="s">
        <v>317</v>
      </c>
      <c r="O160" s="1462"/>
      <c r="P160" s="1462"/>
      <c r="Q160" s="1462"/>
      <c r="R160" s="1462"/>
      <c r="S160" s="1462"/>
      <c r="T160" s="1462"/>
      <c r="U160" s="10"/>
      <c r="V160" s="10"/>
      <c r="W160" s="10"/>
      <c r="X160" s="10"/>
      <c r="Y160" s="10"/>
      <c r="Z160" s="10"/>
      <c r="AA160" s="10"/>
      <c r="AB160" s="10"/>
      <c r="AC160" s="10"/>
      <c r="AD160" s="10"/>
      <c r="AE160" s="10"/>
      <c r="AF160" s="10"/>
      <c r="BN160" s="23" t="s">
        <v>660</v>
      </c>
      <c r="BS160">
        <v>6</v>
      </c>
      <c r="BT160" t="s">
        <v>479</v>
      </c>
      <c r="CB160" s="349" t="s">
        <v>476</v>
      </c>
      <c r="CC160" s="457">
        <v>2796</v>
      </c>
      <c r="CD160" s="458">
        <v>2996</v>
      </c>
      <c r="CE160" s="459">
        <v>3596</v>
      </c>
      <c r="CF160" s="458">
        <v>4154</v>
      </c>
      <c r="CG160" s="459">
        <v>4634</v>
      </c>
      <c r="CH160" s="460">
        <v>5114</v>
      </c>
      <c r="CI160" s="3"/>
      <c r="CJ160" s="857">
        <v>1937</v>
      </c>
      <c r="CK160" s="857">
        <v>2201</v>
      </c>
      <c r="CL160" s="857">
        <v>2682</v>
      </c>
      <c r="CM160" s="857">
        <v>3432</v>
      </c>
      <c r="CN160" s="857">
        <v>4077</v>
      </c>
      <c r="CR160" s="23" t="s">
        <v>636</v>
      </c>
      <c r="CS160" s="323">
        <v>491221</v>
      </c>
      <c r="CT160" s="323">
        <v>566373</v>
      </c>
      <c r="CU160" s="323">
        <v>683200</v>
      </c>
      <c r="CV160" s="323">
        <v>874496</v>
      </c>
      <c r="CW160" s="323">
        <v>974243</v>
      </c>
      <c r="CX160" s="14"/>
      <c r="CY160" s="23" t="s">
        <v>636</v>
      </c>
      <c r="CZ160" s="323">
        <v>491221</v>
      </c>
      <c r="DA160" s="323">
        <v>566373</v>
      </c>
      <c r="DB160" s="323">
        <v>683200</v>
      </c>
      <c r="DC160" s="323">
        <v>874496</v>
      </c>
      <c r="DD160" s="323">
        <v>974243</v>
      </c>
    </row>
    <row r="161" spans="1:108" ht="12.95" customHeight="1">
      <c r="D161" t="s">
        <v>318</v>
      </c>
      <c r="O161" s="1453" t="s">
        <v>2660</v>
      </c>
      <c r="P161" s="1453"/>
      <c r="Q161" s="1453"/>
      <c r="R161" s="1453"/>
      <c r="S161" s="1453"/>
      <c r="T161" s="1453"/>
      <c r="U161" s="1453"/>
      <c r="V161" s="1453"/>
      <c r="W161" s="1453"/>
      <c r="X161" s="1453"/>
      <c r="Y161" s="1453"/>
      <c r="Z161" s="1453"/>
      <c r="AA161" s="1453"/>
      <c r="AB161" s="1453"/>
      <c r="AC161" s="1453"/>
      <c r="AD161" s="1453"/>
      <c r="AE161" s="1453"/>
      <c r="AF161" s="1453"/>
      <c r="AG161" s="1453"/>
      <c r="AH161" s="1453"/>
      <c r="BJ161" t="s">
        <v>669</v>
      </c>
      <c r="BN161" s="23" t="s">
        <v>661</v>
      </c>
      <c r="BS161">
        <v>7</v>
      </c>
      <c r="BT161" t="s">
        <v>480</v>
      </c>
      <c r="CB161" s="350" t="s">
        <v>477</v>
      </c>
      <c r="CC161" s="461">
        <v>2020</v>
      </c>
      <c r="CD161" s="462">
        <v>2162</v>
      </c>
      <c r="CE161" s="461">
        <v>2594</v>
      </c>
      <c r="CF161" s="462">
        <v>3000</v>
      </c>
      <c r="CG161" s="462">
        <v>3346</v>
      </c>
      <c r="CH161" s="463">
        <v>3692</v>
      </c>
      <c r="CI161" s="3"/>
      <c r="CJ161" s="857">
        <v>1003</v>
      </c>
      <c r="CK161" s="857">
        <v>1101</v>
      </c>
      <c r="CL161" s="857">
        <v>1445</v>
      </c>
      <c r="CM161" s="857">
        <v>2025</v>
      </c>
      <c r="CN161" s="857">
        <v>2396</v>
      </c>
      <c r="CR161" s="23" t="s">
        <v>637</v>
      </c>
      <c r="CS161" s="321">
        <v>402640</v>
      </c>
      <c r="CT161" s="321">
        <v>464240</v>
      </c>
      <c r="CU161" s="321">
        <v>560000</v>
      </c>
      <c r="CV161" s="321">
        <v>716800</v>
      </c>
      <c r="CW161" s="321">
        <v>798560</v>
      </c>
      <c r="CX161" s="14"/>
      <c r="CY161" s="23" t="s">
        <v>637</v>
      </c>
      <c r="CZ161" s="321">
        <v>402640</v>
      </c>
      <c r="DA161" s="321">
        <v>464240</v>
      </c>
      <c r="DB161" s="321">
        <v>560000</v>
      </c>
      <c r="DC161" s="321">
        <v>716800</v>
      </c>
      <c r="DD161" s="321">
        <v>798560</v>
      </c>
    </row>
    <row r="162" spans="1:108"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545</v>
      </c>
      <c r="BN162" s="23" t="s">
        <v>662</v>
      </c>
      <c r="BS162">
        <v>7</v>
      </c>
      <c r="BT162" t="s">
        <v>481</v>
      </c>
      <c r="CB162" s="350" t="s">
        <v>478</v>
      </c>
      <c r="CC162" s="464">
        <v>1924</v>
      </c>
      <c r="CD162" s="465">
        <v>2062</v>
      </c>
      <c r="CE162" s="464">
        <v>2474</v>
      </c>
      <c r="CF162" s="465">
        <v>2856</v>
      </c>
      <c r="CG162" s="465">
        <v>3186</v>
      </c>
      <c r="CH162" s="466">
        <v>3516</v>
      </c>
      <c r="CI162" s="3"/>
      <c r="CJ162" s="857">
        <v>1253</v>
      </c>
      <c r="CK162" s="857">
        <v>1260</v>
      </c>
      <c r="CL162" s="857">
        <v>1493</v>
      </c>
      <c r="CM162" s="857">
        <v>2084</v>
      </c>
      <c r="CN162" s="857">
        <v>2507</v>
      </c>
      <c r="CR162" s="23" t="s">
        <v>339</v>
      </c>
      <c r="CS162" s="323">
        <v>402640</v>
      </c>
      <c r="CT162" s="323">
        <v>464240</v>
      </c>
      <c r="CU162" s="323">
        <v>560000</v>
      </c>
      <c r="CV162" s="323">
        <v>716800</v>
      </c>
      <c r="CW162" s="323">
        <v>798560</v>
      </c>
      <c r="CX162" s="14"/>
      <c r="CY162" s="23" t="s">
        <v>339</v>
      </c>
      <c r="CZ162" s="323">
        <v>402640</v>
      </c>
      <c r="DA162" s="323">
        <v>464240</v>
      </c>
      <c r="DB162" s="323">
        <v>560000</v>
      </c>
      <c r="DC162" s="323">
        <v>716800</v>
      </c>
      <c r="DD162" s="323">
        <v>798560</v>
      </c>
    </row>
    <row r="163" spans="1:108" ht="12.95" customHeight="1">
      <c r="C163" s="27" t="s">
        <v>82</v>
      </c>
      <c r="D163" s="3" t="s">
        <v>2051</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663</v>
      </c>
      <c r="BS163">
        <v>2</v>
      </c>
      <c r="BT163" t="s">
        <v>482</v>
      </c>
      <c r="CB163" s="350" t="s">
        <v>479</v>
      </c>
      <c r="CC163" s="464">
        <v>1644</v>
      </c>
      <c r="CD163" s="465">
        <v>1762</v>
      </c>
      <c r="CE163" s="464">
        <v>2114</v>
      </c>
      <c r="CF163" s="465">
        <v>2442</v>
      </c>
      <c r="CG163" s="465">
        <v>2724</v>
      </c>
      <c r="CH163" s="466">
        <v>3006</v>
      </c>
      <c r="CI163" s="3"/>
      <c r="CJ163" s="857">
        <v>1069</v>
      </c>
      <c r="CK163" s="857">
        <v>1126</v>
      </c>
      <c r="CL163" s="857">
        <v>1466</v>
      </c>
      <c r="CM163" s="857">
        <v>2054</v>
      </c>
      <c r="CN163" s="857">
        <v>2462</v>
      </c>
      <c r="CR163" s="23" t="s">
        <v>660</v>
      </c>
      <c r="CS163" s="321">
        <v>369278</v>
      </c>
      <c r="CT163" s="321">
        <v>425774</v>
      </c>
      <c r="CU163" s="321">
        <v>513600</v>
      </c>
      <c r="CV163" s="321">
        <v>657408</v>
      </c>
      <c r="CW163" s="321">
        <v>732394</v>
      </c>
      <c r="CX163" s="14"/>
      <c r="CY163" s="23" t="s">
        <v>660</v>
      </c>
      <c r="CZ163" s="321">
        <v>369278</v>
      </c>
      <c r="DA163" s="321">
        <v>425774</v>
      </c>
      <c r="DB163" s="321">
        <v>513600</v>
      </c>
      <c r="DC163" s="321">
        <v>657408</v>
      </c>
      <c r="DD163" s="321">
        <v>732394</v>
      </c>
    </row>
    <row r="164" spans="1:108" ht="12.95" customHeight="1">
      <c r="C164" s="27"/>
      <c r="D164" s="1476" t="s">
        <v>2170</v>
      </c>
      <c r="E164" s="1476"/>
      <c r="F164" s="1476"/>
      <c r="G164" s="1476"/>
      <c r="H164" s="1476"/>
      <c r="I164" s="1476"/>
      <c r="J164" s="1476"/>
      <c r="K164" s="1476"/>
      <c r="L164" s="1476"/>
      <c r="M164" s="1476"/>
      <c r="N164" s="1476"/>
      <c r="O164" s="1476"/>
      <c r="P164" s="1476"/>
      <c r="Q164" s="1476"/>
      <c r="R164" s="1476"/>
      <c r="S164" s="1476"/>
      <c r="T164" s="1476"/>
      <c r="U164" s="1476"/>
      <c r="V164" s="1476"/>
      <c r="W164" s="1476"/>
      <c r="X164" s="1476"/>
      <c r="Y164" s="1476"/>
      <c r="Z164" s="1476"/>
      <c r="AA164" s="1476"/>
      <c r="AB164" s="1476"/>
      <c r="AC164" s="1476"/>
      <c r="AD164" s="1476"/>
      <c r="AE164" s="1476"/>
      <c r="AF164" s="1476"/>
      <c r="AG164" s="1476"/>
      <c r="AH164" s="1476"/>
      <c r="BN164" s="23" t="s">
        <v>664</v>
      </c>
      <c r="BS164">
        <v>7</v>
      </c>
      <c r="BT164" t="s">
        <v>483</v>
      </c>
      <c r="CB164" s="350" t="s">
        <v>480</v>
      </c>
      <c r="CC164" s="464">
        <v>1776</v>
      </c>
      <c r="CD164" s="465">
        <v>1902</v>
      </c>
      <c r="CE164" s="464">
        <v>2284</v>
      </c>
      <c r="CF164" s="465">
        <v>2640</v>
      </c>
      <c r="CG164" s="465">
        <v>2944</v>
      </c>
      <c r="CH164" s="466">
        <v>3248</v>
      </c>
      <c r="CI164" s="3"/>
      <c r="CJ164" s="857">
        <v>989</v>
      </c>
      <c r="CK164" s="857">
        <v>1086</v>
      </c>
      <c r="CL164" s="857">
        <v>1425</v>
      </c>
      <c r="CM164" s="857">
        <v>1997</v>
      </c>
      <c r="CN164" s="857">
        <v>2195</v>
      </c>
      <c r="CR164" s="23" t="s">
        <v>661</v>
      </c>
      <c r="CS164" s="323">
        <v>402640</v>
      </c>
      <c r="CT164" s="323">
        <v>464240</v>
      </c>
      <c r="CU164" s="323">
        <v>560000</v>
      </c>
      <c r="CV164" s="323">
        <v>716800</v>
      </c>
      <c r="CW164" s="323">
        <v>798560</v>
      </c>
      <c r="CX164" s="14"/>
      <c r="CY164" s="23" t="s">
        <v>661</v>
      </c>
      <c r="CZ164" s="323">
        <v>402640</v>
      </c>
      <c r="DA164" s="323">
        <v>464240</v>
      </c>
      <c r="DB164" s="323">
        <v>560000</v>
      </c>
      <c r="DC164" s="323">
        <v>716800</v>
      </c>
      <c r="DD164" s="323">
        <v>798560</v>
      </c>
    </row>
    <row r="165" spans="1:108"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665</v>
      </c>
      <c r="BS165">
        <v>6</v>
      </c>
      <c r="BT165" t="s">
        <v>484</v>
      </c>
      <c r="CB165" s="350" t="s">
        <v>481</v>
      </c>
      <c r="CC165" s="464">
        <v>1680</v>
      </c>
      <c r="CD165" s="465">
        <v>1800</v>
      </c>
      <c r="CE165" s="464">
        <v>2160</v>
      </c>
      <c r="CF165" s="465">
        <v>2496</v>
      </c>
      <c r="CG165" s="465">
        <v>2784</v>
      </c>
      <c r="CH165" s="466">
        <v>3072</v>
      </c>
      <c r="CI165" s="3"/>
      <c r="CJ165" s="857">
        <v>915</v>
      </c>
      <c r="CK165" s="857">
        <v>921</v>
      </c>
      <c r="CL165" s="857">
        <v>1208</v>
      </c>
      <c r="CM165" s="857">
        <v>1625</v>
      </c>
      <c r="CN165" s="857">
        <v>1631</v>
      </c>
      <c r="CR165" s="23" t="s">
        <v>662</v>
      </c>
      <c r="CS165" s="321">
        <v>402640</v>
      </c>
      <c r="CT165" s="321">
        <v>464240</v>
      </c>
      <c r="CU165" s="321">
        <v>560000</v>
      </c>
      <c r="CV165" s="321">
        <v>716800</v>
      </c>
      <c r="CW165" s="321">
        <v>798560</v>
      </c>
      <c r="CX165" s="14"/>
      <c r="CY165" s="23" t="s">
        <v>662</v>
      </c>
      <c r="CZ165" s="321">
        <v>402640</v>
      </c>
      <c r="DA165" s="321">
        <v>464240</v>
      </c>
      <c r="DB165" s="321">
        <v>560000</v>
      </c>
      <c r="DC165" s="321">
        <v>716800</v>
      </c>
      <c r="DD165" s="321">
        <v>798560</v>
      </c>
    </row>
    <row r="166" spans="1:108"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667</v>
      </c>
      <c r="BS166">
        <v>5</v>
      </c>
      <c r="BT166" t="s">
        <v>485</v>
      </c>
      <c r="CB166" s="350" t="s">
        <v>482</v>
      </c>
      <c r="CC166" s="464">
        <v>2796</v>
      </c>
      <c r="CD166" s="465">
        <v>2996</v>
      </c>
      <c r="CE166" s="464">
        <v>3596</v>
      </c>
      <c r="CF166" s="465">
        <v>4154</v>
      </c>
      <c r="CG166" s="465">
        <v>4634</v>
      </c>
      <c r="CH166" s="466">
        <v>5114</v>
      </c>
      <c r="CI166" s="3"/>
      <c r="CJ166" s="857">
        <v>1937</v>
      </c>
      <c r="CK166" s="857">
        <v>2201</v>
      </c>
      <c r="CL166" s="857">
        <v>2682</v>
      </c>
      <c r="CM166" s="857">
        <v>3432</v>
      </c>
      <c r="CN166" s="857">
        <v>4077</v>
      </c>
      <c r="CR166" s="23" t="s">
        <v>663</v>
      </c>
      <c r="CS166" s="323">
        <v>491221</v>
      </c>
      <c r="CT166" s="323">
        <v>566373</v>
      </c>
      <c r="CU166" s="323">
        <v>683200</v>
      </c>
      <c r="CV166" s="323">
        <v>874496</v>
      </c>
      <c r="CW166" s="323">
        <v>974243</v>
      </c>
      <c r="CX166" s="14"/>
      <c r="CY166" s="23" t="s">
        <v>663</v>
      </c>
      <c r="CZ166" s="323">
        <v>491221</v>
      </c>
      <c r="DA166" s="323">
        <v>566373</v>
      </c>
      <c r="DB166" s="323">
        <v>683200</v>
      </c>
      <c r="DC166" s="323">
        <v>874496</v>
      </c>
      <c r="DD166" s="323">
        <v>974243</v>
      </c>
    </row>
    <row r="167" spans="1:108"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670</v>
      </c>
      <c r="BS167">
        <v>7</v>
      </c>
      <c r="BT167" t="s">
        <v>486</v>
      </c>
      <c r="CB167" s="350" t="s">
        <v>483</v>
      </c>
      <c r="CC167" s="464">
        <v>1644</v>
      </c>
      <c r="CD167" s="465">
        <v>1762</v>
      </c>
      <c r="CE167" s="464">
        <v>2114</v>
      </c>
      <c r="CF167" s="465">
        <v>2442</v>
      </c>
      <c r="CG167" s="465">
        <v>2724</v>
      </c>
      <c r="CH167" s="466">
        <v>3006</v>
      </c>
      <c r="CI167" s="3"/>
      <c r="CJ167" s="857">
        <v>869</v>
      </c>
      <c r="CK167" s="857">
        <v>1086</v>
      </c>
      <c r="CL167" s="857">
        <v>1253</v>
      </c>
      <c r="CM167" s="857">
        <v>1756</v>
      </c>
      <c r="CN167" s="857">
        <v>2104</v>
      </c>
      <c r="CR167" s="23" t="s">
        <v>664</v>
      </c>
      <c r="CS167" s="321">
        <v>402640</v>
      </c>
      <c r="CT167" s="321">
        <v>464240</v>
      </c>
      <c r="CU167" s="321">
        <v>560000</v>
      </c>
      <c r="CV167" s="321">
        <v>716800</v>
      </c>
      <c r="CW167" s="321">
        <v>798560</v>
      </c>
      <c r="CX167" s="14"/>
      <c r="CY167" s="23" t="s">
        <v>664</v>
      </c>
      <c r="CZ167" s="321">
        <v>402640</v>
      </c>
      <c r="DA167" s="321">
        <v>464240</v>
      </c>
      <c r="DB167" s="321">
        <v>560000</v>
      </c>
      <c r="DC167" s="321">
        <v>716800</v>
      </c>
      <c r="DD167" s="321">
        <v>798560</v>
      </c>
    </row>
    <row r="168" spans="1:108"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671</v>
      </c>
      <c r="BS168">
        <v>7</v>
      </c>
      <c r="BT168" t="s">
        <v>487</v>
      </c>
      <c r="CB168" s="350" t="s">
        <v>484</v>
      </c>
      <c r="CC168" s="464">
        <v>2252</v>
      </c>
      <c r="CD168" s="465">
        <v>2412</v>
      </c>
      <c r="CE168" s="464">
        <v>2894</v>
      </c>
      <c r="CF168" s="465">
        <v>3342</v>
      </c>
      <c r="CG168" s="465">
        <v>3730</v>
      </c>
      <c r="CH168" s="466">
        <v>4116</v>
      </c>
      <c r="CI168" s="3"/>
      <c r="CJ168" s="857">
        <v>1679</v>
      </c>
      <c r="CK168" s="857">
        <v>1777</v>
      </c>
      <c r="CL168" s="857">
        <v>2206</v>
      </c>
      <c r="CM168" s="857">
        <v>2992</v>
      </c>
      <c r="CN168" s="857">
        <v>3455</v>
      </c>
      <c r="CR168" s="23" t="s">
        <v>665</v>
      </c>
      <c r="CS168" s="323">
        <v>360075</v>
      </c>
      <c r="CT168" s="323">
        <v>415163</v>
      </c>
      <c r="CU168" s="323">
        <v>500800</v>
      </c>
      <c r="CV168" s="323">
        <v>641024</v>
      </c>
      <c r="CW168" s="323">
        <v>714141</v>
      </c>
      <c r="CX168" s="14"/>
      <c r="CY168" s="23" t="s">
        <v>665</v>
      </c>
      <c r="CZ168" s="323">
        <v>360075</v>
      </c>
      <c r="DA168" s="323">
        <v>415163</v>
      </c>
      <c r="DB168" s="323">
        <v>500800</v>
      </c>
      <c r="DC168" s="323">
        <v>641024</v>
      </c>
      <c r="DD168" s="323">
        <v>714141</v>
      </c>
    </row>
    <row r="169" spans="1:108" ht="12.95" customHeight="1">
      <c r="A169" s="1457" t="s">
        <v>539</v>
      </c>
      <c r="B169" s="1457"/>
      <c r="C169" s="1457"/>
      <c r="D169" s="1457"/>
      <c r="E169" s="1457"/>
      <c r="F169" s="1457"/>
      <c r="G169" s="1457"/>
      <c r="H169" s="1457"/>
      <c r="I169" s="1457"/>
      <c r="J169" s="1457"/>
      <c r="K169" s="1457"/>
      <c r="L169" s="1457"/>
      <c r="M169" s="1457"/>
      <c r="N169" s="1457"/>
      <c r="O169" s="1457"/>
      <c r="P169" s="1457"/>
      <c r="Q169" s="1457"/>
      <c r="R169" s="1457"/>
      <c r="S169" s="1457"/>
      <c r="T169" s="1457"/>
      <c r="U169" s="1457"/>
      <c r="V169" s="1457"/>
      <c r="W169" s="1457"/>
      <c r="X169" s="1457"/>
      <c r="Y169" s="1457"/>
      <c r="Z169" s="1457"/>
      <c r="AA169" s="1457"/>
      <c r="AB169" s="1457"/>
      <c r="AC169" s="1457"/>
      <c r="AD169" s="1457"/>
      <c r="AE169" s="1457"/>
      <c r="AF169" s="1457"/>
      <c r="AG169" s="1457"/>
      <c r="AH169" s="1457"/>
      <c r="AI169" s="1457"/>
      <c r="AJ169" s="1457"/>
      <c r="AK169" s="1457"/>
      <c r="AL169" s="1457"/>
      <c r="AM169" s="1457"/>
      <c r="AN169" s="1457"/>
      <c r="AO169" s="1457"/>
      <c r="AP169" s="1457"/>
      <c r="AQ169" s="1457"/>
      <c r="AR169" s="1457"/>
      <c r="AS169" s="1457"/>
      <c r="AT169" s="1457"/>
      <c r="AU169" s="95"/>
      <c r="AV169" s="95"/>
      <c r="AW169" s="95"/>
      <c r="AX169" s="95"/>
      <c r="AY169" s="95"/>
      <c r="BN169" s="23" t="s">
        <v>673</v>
      </c>
      <c r="BS169">
        <v>5</v>
      </c>
      <c r="BT169" t="s">
        <v>488</v>
      </c>
      <c r="CB169" s="350" t="s">
        <v>485</v>
      </c>
      <c r="CC169" s="464">
        <v>1644</v>
      </c>
      <c r="CD169" s="465">
        <v>1762</v>
      </c>
      <c r="CE169" s="464">
        <v>2114</v>
      </c>
      <c r="CF169" s="465">
        <v>2442</v>
      </c>
      <c r="CG169" s="465">
        <v>2724</v>
      </c>
      <c r="CH169" s="466">
        <v>3006</v>
      </c>
      <c r="CI169" s="3"/>
      <c r="CJ169" s="857">
        <v>1210</v>
      </c>
      <c r="CK169" s="857">
        <v>1217</v>
      </c>
      <c r="CL169" s="857">
        <v>1505</v>
      </c>
      <c r="CM169" s="857">
        <v>2109</v>
      </c>
      <c r="CN169" s="857">
        <v>2415</v>
      </c>
      <c r="CR169" s="23" t="s">
        <v>667</v>
      </c>
      <c r="CS169" s="321">
        <v>323262</v>
      </c>
      <c r="CT169" s="321">
        <v>372718</v>
      </c>
      <c r="CU169" s="321">
        <v>449600</v>
      </c>
      <c r="CV169" s="321">
        <v>575488</v>
      </c>
      <c r="CW169" s="321">
        <v>641130</v>
      </c>
      <c r="CX169" s="14"/>
      <c r="CY169" s="23" t="s">
        <v>667</v>
      </c>
      <c r="CZ169" s="321">
        <v>323262</v>
      </c>
      <c r="DA169" s="321">
        <v>372718</v>
      </c>
      <c r="DB169" s="321">
        <v>449600</v>
      </c>
      <c r="DC169" s="321">
        <v>575488</v>
      </c>
      <c r="DD169" s="321">
        <v>641130</v>
      </c>
    </row>
    <row r="170" spans="1:108" ht="12.95" customHeight="1">
      <c r="A170" s="1457"/>
      <c r="B170" s="1457"/>
      <c r="C170" s="1457"/>
      <c r="D170" s="1457"/>
      <c r="E170" s="1457"/>
      <c r="F170" s="1457"/>
      <c r="G170" s="1457"/>
      <c r="H170" s="1457"/>
      <c r="I170" s="1457"/>
      <c r="J170" s="1457"/>
      <c r="K170" s="1457"/>
      <c r="L170" s="1457"/>
      <c r="M170" s="1457"/>
      <c r="N170" s="1457"/>
      <c r="O170" s="1457"/>
      <c r="P170" s="1457"/>
      <c r="Q170" s="1457"/>
      <c r="R170" s="1457"/>
      <c r="S170" s="1457"/>
      <c r="T170" s="1457"/>
      <c r="U170" s="1457"/>
      <c r="V170" s="1457"/>
      <c r="W170" s="1457"/>
      <c r="X170" s="1457"/>
      <c r="Y170" s="1457"/>
      <c r="Z170" s="1457"/>
      <c r="AA170" s="1457"/>
      <c r="AB170" s="1457"/>
      <c r="AC170" s="1457"/>
      <c r="AD170" s="1457"/>
      <c r="AE170" s="1457"/>
      <c r="AF170" s="1457"/>
      <c r="AG170" s="1457"/>
      <c r="AH170" s="1457"/>
      <c r="AI170" s="1457"/>
      <c r="AJ170" s="1457"/>
      <c r="AK170" s="1457"/>
      <c r="AL170" s="1457"/>
      <c r="AM170" s="1457"/>
      <c r="AN170" s="1457"/>
      <c r="AO170" s="1457"/>
      <c r="AP170" s="1457"/>
      <c r="AQ170" s="1457"/>
      <c r="AR170" s="1457"/>
      <c r="AS170" s="1457"/>
      <c r="AT170" s="1457"/>
      <c r="AU170" s="95"/>
      <c r="AV170" s="95"/>
      <c r="AW170" s="95"/>
      <c r="AX170" s="95"/>
      <c r="AY170" s="95"/>
      <c r="BN170" s="23" t="s">
        <v>674</v>
      </c>
      <c r="BS170">
        <v>7</v>
      </c>
      <c r="BT170" t="s">
        <v>489</v>
      </c>
      <c r="CB170" s="350" t="s">
        <v>486</v>
      </c>
      <c r="CC170" s="464">
        <v>1644</v>
      </c>
      <c r="CD170" s="465">
        <v>1762</v>
      </c>
      <c r="CE170" s="464">
        <v>2114</v>
      </c>
      <c r="CF170" s="465">
        <v>2442</v>
      </c>
      <c r="CG170" s="465">
        <v>2724</v>
      </c>
      <c r="CH170" s="466">
        <v>3006</v>
      </c>
      <c r="CI170" s="3"/>
      <c r="CJ170" s="857">
        <v>841</v>
      </c>
      <c r="CK170" s="857">
        <v>935</v>
      </c>
      <c r="CL170" s="857">
        <v>1227</v>
      </c>
      <c r="CM170" s="857">
        <v>1631</v>
      </c>
      <c r="CN170" s="857">
        <v>2060</v>
      </c>
      <c r="CR170" s="23" t="s">
        <v>670</v>
      </c>
      <c r="CS170" s="323">
        <v>402640</v>
      </c>
      <c r="CT170" s="323">
        <v>464240</v>
      </c>
      <c r="CU170" s="323">
        <v>560000</v>
      </c>
      <c r="CV170" s="323">
        <v>716800</v>
      </c>
      <c r="CW170" s="323">
        <v>798560</v>
      </c>
      <c r="CX170" s="14"/>
      <c r="CY170" s="23" t="s">
        <v>670</v>
      </c>
      <c r="CZ170" s="323">
        <v>402640</v>
      </c>
      <c r="DA170" s="323">
        <v>464240</v>
      </c>
      <c r="DB170" s="323">
        <v>560000</v>
      </c>
      <c r="DC170" s="323">
        <v>716800</v>
      </c>
      <c r="DD170" s="323">
        <v>798560</v>
      </c>
    </row>
    <row r="171" spans="1:108" ht="12.95" customHeight="1">
      <c r="BN171" s="23" t="s">
        <v>211</v>
      </c>
      <c r="BS171">
        <v>5</v>
      </c>
      <c r="BT171" t="s">
        <v>490</v>
      </c>
      <c r="CB171" s="350" t="s">
        <v>487</v>
      </c>
      <c r="CC171" s="464">
        <v>1644</v>
      </c>
      <c r="CD171" s="465">
        <v>1762</v>
      </c>
      <c r="CE171" s="464">
        <v>2114</v>
      </c>
      <c r="CF171" s="465">
        <v>2442</v>
      </c>
      <c r="CG171" s="465">
        <v>2724</v>
      </c>
      <c r="CH171" s="466">
        <v>3006</v>
      </c>
      <c r="CI171" s="3"/>
      <c r="CJ171" s="857">
        <v>1065</v>
      </c>
      <c r="CK171" s="857">
        <v>1132</v>
      </c>
      <c r="CL171" s="857">
        <v>1478</v>
      </c>
      <c r="CM171" s="857">
        <v>2071</v>
      </c>
      <c r="CN171" s="857">
        <v>2482</v>
      </c>
      <c r="CR171" s="23" t="s">
        <v>671</v>
      </c>
      <c r="CS171" s="321">
        <v>402640</v>
      </c>
      <c r="CT171" s="321">
        <v>464240</v>
      </c>
      <c r="CU171" s="321">
        <v>560000</v>
      </c>
      <c r="CV171" s="321">
        <v>716800</v>
      </c>
      <c r="CW171" s="321">
        <v>798560</v>
      </c>
      <c r="CX171" s="14"/>
      <c r="CY171" s="23" t="s">
        <v>671</v>
      </c>
      <c r="CZ171" s="321">
        <v>402640</v>
      </c>
      <c r="DA171" s="321">
        <v>464240</v>
      </c>
      <c r="DB171" s="321">
        <v>560000</v>
      </c>
      <c r="DC171" s="321">
        <v>716800</v>
      </c>
      <c r="DD171" s="321">
        <v>798560</v>
      </c>
    </row>
    <row r="172" spans="1:108" ht="12.95" customHeight="1">
      <c r="A172" s="2" t="s">
        <v>319</v>
      </c>
      <c r="C172" s="2" t="s">
        <v>320</v>
      </c>
      <c r="BN172" s="23" t="s">
        <v>213</v>
      </c>
      <c r="BS172">
        <v>5</v>
      </c>
      <c r="BT172" t="s">
        <v>491</v>
      </c>
      <c r="CB172" s="350" t="s">
        <v>488</v>
      </c>
      <c r="CC172" s="464">
        <v>1644</v>
      </c>
      <c r="CD172" s="465">
        <v>1762</v>
      </c>
      <c r="CE172" s="464">
        <v>2114</v>
      </c>
      <c r="CF172" s="465">
        <v>2442</v>
      </c>
      <c r="CG172" s="465">
        <v>2724</v>
      </c>
      <c r="CH172" s="466">
        <v>3006</v>
      </c>
      <c r="CI172" s="3"/>
      <c r="CJ172" s="857">
        <v>940</v>
      </c>
      <c r="CK172" s="857">
        <v>1056</v>
      </c>
      <c r="CL172" s="857">
        <v>1371</v>
      </c>
      <c r="CM172" s="857">
        <v>1873</v>
      </c>
      <c r="CN172" s="857">
        <v>2287</v>
      </c>
      <c r="CR172" s="23" t="s">
        <v>673</v>
      </c>
      <c r="CS172" s="323">
        <v>381933</v>
      </c>
      <c r="CT172" s="323">
        <v>440365</v>
      </c>
      <c r="CU172" s="323">
        <v>531200</v>
      </c>
      <c r="CV172" s="323">
        <v>679936</v>
      </c>
      <c r="CW172" s="323">
        <v>757491</v>
      </c>
      <c r="CX172" s="14"/>
      <c r="CY172" s="23" t="s">
        <v>673</v>
      </c>
      <c r="CZ172" s="323">
        <v>381933</v>
      </c>
      <c r="DA172" s="323">
        <v>440365</v>
      </c>
      <c r="DB172" s="323">
        <v>531200</v>
      </c>
      <c r="DC172" s="323">
        <v>679936</v>
      </c>
      <c r="DD172" s="323">
        <v>757491</v>
      </c>
    </row>
    <row r="173" spans="1:108" ht="12.95" customHeight="1">
      <c r="C173" s="24"/>
      <c r="D173" t="s">
        <v>321</v>
      </c>
      <c r="J173" s="1454" t="s">
        <v>371</v>
      </c>
      <c r="K173" s="1454"/>
      <c r="L173" s="1454"/>
      <c r="M173" s="1454"/>
      <c r="N173" s="1454"/>
      <c r="O173" s="1454"/>
      <c r="P173" s="1454"/>
      <c r="Q173" s="1454"/>
      <c r="R173" s="1454"/>
      <c r="S173" s="1454"/>
      <c r="U173" s="25"/>
      <c r="X173" s="25"/>
      <c r="BB173" s="3" t="s">
        <v>307</v>
      </c>
      <c r="BN173" s="23" t="s">
        <v>214</v>
      </c>
      <c r="BS173">
        <v>7</v>
      </c>
      <c r="BT173" t="s">
        <v>492</v>
      </c>
      <c r="CB173" s="350" t="s">
        <v>489</v>
      </c>
      <c r="CC173" s="464">
        <v>1680</v>
      </c>
      <c r="CD173" s="465">
        <v>1800</v>
      </c>
      <c r="CE173" s="464">
        <v>2160</v>
      </c>
      <c r="CF173" s="465">
        <v>2496</v>
      </c>
      <c r="CG173" s="465">
        <v>2784</v>
      </c>
      <c r="CH173" s="466">
        <v>3072</v>
      </c>
      <c r="CI173" s="3"/>
      <c r="CJ173" s="857">
        <v>978</v>
      </c>
      <c r="CK173" s="857">
        <v>1254</v>
      </c>
      <c r="CL173" s="857">
        <v>1426</v>
      </c>
      <c r="CM173" s="857">
        <v>1734</v>
      </c>
      <c r="CN173" s="857">
        <v>2365</v>
      </c>
      <c r="CR173" s="23" t="s">
        <v>674</v>
      </c>
      <c r="CS173" s="321">
        <v>402640</v>
      </c>
      <c r="CT173" s="321">
        <v>464240</v>
      </c>
      <c r="CU173" s="321">
        <v>560000</v>
      </c>
      <c r="CV173" s="321">
        <v>716800</v>
      </c>
      <c r="CW173" s="321">
        <v>798560</v>
      </c>
      <c r="CX173" s="14"/>
      <c r="CY173" s="23" t="s">
        <v>674</v>
      </c>
      <c r="CZ173" s="321">
        <v>402640</v>
      </c>
      <c r="DA173" s="321">
        <v>464240</v>
      </c>
      <c r="DB173" s="321">
        <v>560000</v>
      </c>
      <c r="DC173" s="321">
        <v>716800</v>
      </c>
      <c r="DD173" s="321">
        <v>798560</v>
      </c>
    </row>
    <row r="174" spans="1:108" ht="12.95" customHeight="1">
      <c r="C174" s="24"/>
      <c r="D174" s="3" t="s">
        <v>1202</v>
      </c>
      <c r="J174" s="1359" t="s">
        <v>2056</v>
      </c>
      <c r="K174" s="1359"/>
      <c r="L174" s="1359"/>
      <c r="M174" s="1359"/>
      <c r="N174" s="1359"/>
      <c r="O174" s="1359"/>
      <c r="P174" s="1359"/>
      <c r="Q174" s="1359"/>
      <c r="R174" s="1359"/>
      <c r="S174" s="1359"/>
      <c r="T174" s="1359"/>
      <c r="U174" s="1359"/>
      <c r="V174" s="1359"/>
      <c r="W174" s="1359"/>
      <c r="X174" s="1359"/>
      <c r="Y174" s="1359"/>
      <c r="Z174" s="1359"/>
      <c r="AA174" s="1359"/>
      <c r="AB174" s="1359"/>
      <c r="BB174" t="s">
        <v>1942</v>
      </c>
      <c r="BN174" s="23" t="s">
        <v>216</v>
      </c>
      <c r="BS174">
        <v>7</v>
      </c>
      <c r="BT174" t="s">
        <v>493</v>
      </c>
      <c r="CB174" s="350" t="s">
        <v>490</v>
      </c>
      <c r="CC174" s="464">
        <v>1644</v>
      </c>
      <c r="CD174" s="465">
        <v>1762</v>
      </c>
      <c r="CE174" s="464">
        <v>2114</v>
      </c>
      <c r="CF174" s="465">
        <v>2442</v>
      </c>
      <c r="CG174" s="465">
        <v>2724</v>
      </c>
      <c r="CH174" s="466">
        <v>3006</v>
      </c>
      <c r="CI174" s="3"/>
      <c r="CJ174" s="857">
        <v>1058</v>
      </c>
      <c r="CK174" s="857">
        <v>1064</v>
      </c>
      <c r="CL174" s="857">
        <v>1380</v>
      </c>
      <c r="CM174" s="857">
        <v>1934</v>
      </c>
      <c r="CN174" s="857">
        <v>2317</v>
      </c>
      <c r="CR174" s="23" t="s">
        <v>211</v>
      </c>
      <c r="CS174" s="323">
        <v>323262</v>
      </c>
      <c r="CT174" s="323">
        <v>372718</v>
      </c>
      <c r="CU174" s="323">
        <v>449600</v>
      </c>
      <c r="CV174" s="323">
        <v>575488</v>
      </c>
      <c r="CW174" s="323">
        <v>641130</v>
      </c>
      <c r="CX174" s="14"/>
      <c r="CY174" s="23" t="s">
        <v>211</v>
      </c>
      <c r="CZ174" s="323">
        <v>323262</v>
      </c>
      <c r="DA174" s="323">
        <v>372718</v>
      </c>
      <c r="DB174" s="323">
        <v>449600</v>
      </c>
      <c r="DC174" s="323">
        <v>575488</v>
      </c>
      <c r="DD174" s="323">
        <v>641130</v>
      </c>
    </row>
    <row r="175" spans="1:108" ht="12.95" customHeight="1">
      <c r="C175" s="8"/>
      <c r="D175" s="3" t="s">
        <v>322</v>
      </c>
      <c r="O175" s="27"/>
      <c r="U175" s="1324" t="s">
        <v>545</v>
      </c>
      <c r="V175" s="1324"/>
      <c r="BB175" t="s">
        <v>1910</v>
      </c>
      <c r="BN175" s="23" t="s">
        <v>217</v>
      </c>
      <c r="BS175">
        <v>1</v>
      </c>
      <c r="BT175" t="s">
        <v>494</v>
      </c>
      <c r="CB175" s="350" t="s">
        <v>491</v>
      </c>
      <c r="CC175" s="464">
        <v>1644</v>
      </c>
      <c r="CD175" s="465">
        <v>1762</v>
      </c>
      <c r="CE175" s="464">
        <v>2114</v>
      </c>
      <c r="CF175" s="465">
        <v>2442</v>
      </c>
      <c r="CG175" s="465">
        <v>2724</v>
      </c>
      <c r="CH175" s="466">
        <v>3006</v>
      </c>
      <c r="CI175" s="3"/>
      <c r="CJ175" s="857">
        <v>1151</v>
      </c>
      <c r="CK175" s="857">
        <v>1158</v>
      </c>
      <c r="CL175" s="857">
        <v>1445</v>
      </c>
      <c r="CM175" s="857">
        <v>2025</v>
      </c>
      <c r="CN175" s="857">
        <v>2427</v>
      </c>
      <c r="CR175" s="23" t="s">
        <v>213</v>
      </c>
      <c r="CS175" s="321">
        <v>323262</v>
      </c>
      <c r="CT175" s="321">
        <v>372718</v>
      </c>
      <c r="CU175" s="321">
        <v>449600</v>
      </c>
      <c r="CV175" s="321">
        <v>575488</v>
      </c>
      <c r="CW175" s="321">
        <v>641130</v>
      </c>
      <c r="CX175" s="14"/>
      <c r="CY175" s="23" t="s">
        <v>213</v>
      </c>
      <c r="CZ175" s="321">
        <v>323262</v>
      </c>
      <c r="DA175" s="321">
        <v>372718</v>
      </c>
      <c r="DB175" s="321">
        <v>449600</v>
      </c>
      <c r="DC175" s="321">
        <v>575488</v>
      </c>
      <c r="DD175" s="321">
        <v>641130</v>
      </c>
    </row>
    <row r="176" spans="1:108" ht="12.95" customHeight="1">
      <c r="C176" s="8"/>
      <c r="D176" s="26"/>
      <c r="E176" t="s">
        <v>304</v>
      </c>
      <c r="O176" s="27"/>
      <c r="P176" t="s">
        <v>2035</v>
      </c>
      <c r="T176" s="27" t="s">
        <v>305</v>
      </c>
      <c r="U176" s="1479">
        <v>26</v>
      </c>
      <c r="V176" s="1479"/>
      <c r="W176" s="1" t="s">
        <v>306</v>
      </c>
      <c r="X176" s="1491">
        <v>435</v>
      </c>
      <c r="Y176" s="1491"/>
      <c r="BB176" t="s">
        <v>1943</v>
      </c>
      <c r="BN176" s="23" t="s">
        <v>219</v>
      </c>
      <c r="BS176">
        <v>5</v>
      </c>
      <c r="BT176" t="s">
        <v>495</v>
      </c>
      <c r="CB176" s="350" t="s">
        <v>492</v>
      </c>
      <c r="CC176" s="464">
        <v>1644</v>
      </c>
      <c r="CD176" s="465">
        <v>1762</v>
      </c>
      <c r="CE176" s="464">
        <v>2114</v>
      </c>
      <c r="CF176" s="465">
        <v>2442</v>
      </c>
      <c r="CG176" s="465">
        <v>2724</v>
      </c>
      <c r="CH176" s="466">
        <v>3006</v>
      </c>
      <c r="CI176" s="3"/>
      <c r="CJ176" s="857">
        <v>1053</v>
      </c>
      <c r="CK176" s="857">
        <v>1060</v>
      </c>
      <c r="CL176" s="857">
        <v>1390</v>
      </c>
      <c r="CM176" s="857">
        <v>1948</v>
      </c>
      <c r="CN176" s="857">
        <v>2334</v>
      </c>
      <c r="CR176" s="23" t="s">
        <v>214</v>
      </c>
      <c r="CS176" s="323">
        <v>402640</v>
      </c>
      <c r="CT176" s="323">
        <v>464240</v>
      </c>
      <c r="CU176" s="323">
        <v>560000</v>
      </c>
      <c r="CV176" s="323">
        <v>716800</v>
      </c>
      <c r="CW176" s="323">
        <v>798560</v>
      </c>
      <c r="CX176" s="14"/>
      <c r="CY176" s="23" t="s">
        <v>214</v>
      </c>
      <c r="CZ176" s="323">
        <v>402640</v>
      </c>
      <c r="DA176" s="323">
        <v>464240</v>
      </c>
      <c r="DB176" s="323">
        <v>560000</v>
      </c>
      <c r="DC176" s="323">
        <v>716800</v>
      </c>
      <c r="DD176" s="323">
        <v>798560</v>
      </c>
    </row>
    <row r="177" spans="1:108" ht="12.95" customHeight="1">
      <c r="C177" s="24"/>
      <c r="D177" t="s">
        <v>249</v>
      </c>
      <c r="R177" s="1324" t="s">
        <v>669</v>
      </c>
      <c r="S177" s="1324"/>
      <c r="BB177" t="s">
        <v>2167</v>
      </c>
      <c r="BN177" s="23" t="s">
        <v>220</v>
      </c>
      <c r="BS177">
        <v>2</v>
      </c>
      <c r="BT177" t="s">
        <v>496</v>
      </c>
      <c r="CB177" s="350" t="s">
        <v>493</v>
      </c>
      <c r="CC177" s="464">
        <v>1644</v>
      </c>
      <c r="CD177" s="465">
        <v>1762</v>
      </c>
      <c r="CE177" s="464">
        <v>2114</v>
      </c>
      <c r="CF177" s="465">
        <v>2442</v>
      </c>
      <c r="CG177" s="465">
        <v>2724</v>
      </c>
      <c r="CH177" s="466">
        <v>3006</v>
      </c>
      <c r="CI177" s="3"/>
      <c r="CJ177" s="857">
        <v>819</v>
      </c>
      <c r="CK177" s="857">
        <v>910</v>
      </c>
      <c r="CL177" s="857">
        <v>1194</v>
      </c>
      <c r="CM177" s="857">
        <v>1673</v>
      </c>
      <c r="CN177" s="857">
        <v>2005</v>
      </c>
      <c r="CR177" s="23" t="s">
        <v>216</v>
      </c>
      <c r="CS177" s="321">
        <v>402640</v>
      </c>
      <c r="CT177" s="321">
        <v>464240</v>
      </c>
      <c r="CU177" s="321">
        <v>560000</v>
      </c>
      <c r="CV177" s="321">
        <v>716800</v>
      </c>
      <c r="CW177" s="321">
        <v>798560</v>
      </c>
      <c r="CX177" s="14"/>
      <c r="CY177" s="23" t="s">
        <v>216</v>
      </c>
      <c r="CZ177" s="321">
        <v>402640</v>
      </c>
      <c r="DA177" s="321">
        <v>464240</v>
      </c>
      <c r="DB177" s="321">
        <v>560000</v>
      </c>
      <c r="DC177" s="321">
        <v>716800</v>
      </c>
      <c r="DD177" s="321">
        <v>798560</v>
      </c>
    </row>
    <row r="178" spans="1:108" ht="12.95" customHeight="1">
      <c r="C178" s="24"/>
      <c r="D178" s="3" t="s">
        <v>1203</v>
      </c>
      <c r="AA178" t="s">
        <v>2035</v>
      </c>
      <c r="AE178" s="27" t="s">
        <v>305</v>
      </c>
      <c r="AF178" s="1490"/>
      <c r="AG178" s="1490"/>
      <c r="AH178" s="1" t="s">
        <v>306</v>
      </c>
      <c r="AI178" s="1381"/>
      <c r="AJ178" s="1381"/>
      <c r="AK178" s="1381"/>
      <c r="BB178" t="s">
        <v>2168</v>
      </c>
      <c r="BN178" s="23" t="s">
        <v>221</v>
      </c>
      <c r="BS178">
        <v>7</v>
      </c>
      <c r="BT178" t="s">
        <v>53</v>
      </c>
      <c r="CB178" s="350" t="s">
        <v>494</v>
      </c>
      <c r="CC178" s="464">
        <v>2650</v>
      </c>
      <c r="CD178" s="465">
        <v>2840</v>
      </c>
      <c r="CE178" s="464">
        <v>3406</v>
      </c>
      <c r="CF178" s="465">
        <v>3938</v>
      </c>
      <c r="CG178" s="465">
        <v>4392</v>
      </c>
      <c r="CH178" s="466">
        <v>4846</v>
      </c>
      <c r="CI178" s="3"/>
      <c r="CJ178" s="857">
        <v>1856</v>
      </c>
      <c r="CK178" s="857">
        <v>2081</v>
      </c>
      <c r="CL178" s="857">
        <v>2625</v>
      </c>
      <c r="CM178" s="857">
        <v>3335</v>
      </c>
      <c r="CN178" s="857">
        <v>3698</v>
      </c>
      <c r="CR178" s="23" t="s">
        <v>217</v>
      </c>
      <c r="CS178" s="323">
        <v>437727</v>
      </c>
      <c r="CT178" s="323">
        <v>504695</v>
      </c>
      <c r="CU178" s="323">
        <v>608800</v>
      </c>
      <c r="CV178" s="323">
        <v>779264</v>
      </c>
      <c r="CW178" s="323">
        <v>868149</v>
      </c>
      <c r="CX178" s="14"/>
      <c r="CY178" s="23" t="s">
        <v>217</v>
      </c>
      <c r="CZ178" s="323">
        <v>437727</v>
      </c>
      <c r="DA178" s="323">
        <v>504695</v>
      </c>
      <c r="DB178" s="323">
        <v>608800</v>
      </c>
      <c r="DC178" s="323">
        <v>779264</v>
      </c>
      <c r="DD178" s="323">
        <v>868149</v>
      </c>
    </row>
    <row r="179" spans="1:108" ht="12.95" customHeight="1">
      <c r="C179" s="24"/>
      <c r="BN179" s="23" t="s">
        <v>222</v>
      </c>
      <c r="BS179">
        <v>7</v>
      </c>
      <c r="BT179" t="s">
        <v>54</v>
      </c>
      <c r="CB179" s="350" t="s">
        <v>495</v>
      </c>
      <c r="CC179" s="464">
        <v>1644</v>
      </c>
      <c r="CD179" s="465">
        <v>1762</v>
      </c>
      <c r="CE179" s="464">
        <v>2114</v>
      </c>
      <c r="CF179" s="465">
        <v>2442</v>
      </c>
      <c r="CG179" s="465">
        <v>2724</v>
      </c>
      <c r="CH179" s="466">
        <v>3006</v>
      </c>
      <c r="CI179" s="3"/>
      <c r="CJ179" s="857">
        <v>1099</v>
      </c>
      <c r="CK179" s="857">
        <v>1106</v>
      </c>
      <c r="CL179" s="857">
        <v>1433</v>
      </c>
      <c r="CM179" s="857">
        <v>2008</v>
      </c>
      <c r="CN179" s="857">
        <v>2293</v>
      </c>
      <c r="CR179" s="23" t="s">
        <v>219</v>
      </c>
      <c r="CS179" s="321">
        <v>323262</v>
      </c>
      <c r="CT179" s="321">
        <v>372718</v>
      </c>
      <c r="CU179" s="321">
        <v>449600</v>
      </c>
      <c r="CV179" s="321">
        <v>575488</v>
      </c>
      <c r="CW179" s="321">
        <v>641130</v>
      </c>
      <c r="CX179" s="14"/>
      <c r="CY179" s="23" t="s">
        <v>219</v>
      </c>
      <c r="CZ179" s="321">
        <v>323262</v>
      </c>
      <c r="DA179" s="321">
        <v>372718</v>
      </c>
      <c r="DB179" s="321">
        <v>449600</v>
      </c>
      <c r="DC179" s="321">
        <v>575488</v>
      </c>
      <c r="DD179" s="321">
        <v>641130</v>
      </c>
    </row>
    <row r="180" spans="1:108" ht="12.95" customHeight="1">
      <c r="C180" s="24"/>
      <c r="D180" s="3" t="s">
        <v>2630</v>
      </c>
      <c r="X180" s="1324"/>
      <c r="Y180" s="1324"/>
      <c r="BN180" s="23" t="s">
        <v>224</v>
      </c>
      <c r="BS180">
        <v>5</v>
      </c>
      <c r="BT180" t="s">
        <v>55</v>
      </c>
      <c r="CB180" s="350" t="s">
        <v>496</v>
      </c>
      <c r="CC180" s="464">
        <v>3384</v>
      </c>
      <c r="CD180" s="465">
        <v>3626</v>
      </c>
      <c r="CE180" s="464">
        <v>4352</v>
      </c>
      <c r="CF180" s="465">
        <v>5028</v>
      </c>
      <c r="CG180" s="465">
        <v>5610</v>
      </c>
      <c r="CH180" s="466">
        <v>6190</v>
      </c>
      <c r="CI180" s="3"/>
      <c r="CJ180" s="857">
        <v>2275</v>
      </c>
      <c r="CK180" s="857">
        <v>2780</v>
      </c>
      <c r="CL180" s="857">
        <v>3318</v>
      </c>
      <c r="CM180" s="857">
        <v>4138</v>
      </c>
      <c r="CN180" s="857">
        <v>4399</v>
      </c>
      <c r="CR180" s="23" t="s">
        <v>220</v>
      </c>
      <c r="CS180" s="323">
        <v>406666</v>
      </c>
      <c r="CT180" s="323">
        <v>468882</v>
      </c>
      <c r="CU180" s="323">
        <v>565600</v>
      </c>
      <c r="CV180" s="323">
        <v>723968</v>
      </c>
      <c r="CW180" s="323">
        <v>806546</v>
      </c>
      <c r="CX180" s="14"/>
      <c r="CY180" s="23" t="s">
        <v>220</v>
      </c>
      <c r="CZ180" s="323">
        <v>406666</v>
      </c>
      <c r="DA180" s="323">
        <v>468882</v>
      </c>
      <c r="DB180" s="323">
        <v>565600</v>
      </c>
      <c r="DC180" s="323">
        <v>723968</v>
      </c>
      <c r="DD180" s="323">
        <v>806546</v>
      </c>
    </row>
    <row r="181" spans="1:108" ht="12.95" customHeight="1">
      <c r="C181" s="8"/>
      <c r="E181" s="4" t="s">
        <v>976</v>
      </c>
      <c r="BN181" s="23" t="s">
        <v>225</v>
      </c>
      <c r="BS181">
        <v>7</v>
      </c>
      <c r="BT181" t="s">
        <v>56</v>
      </c>
      <c r="CB181" s="350" t="s">
        <v>53</v>
      </c>
      <c r="CC181" s="464">
        <v>1644</v>
      </c>
      <c r="CD181" s="465">
        <v>1762</v>
      </c>
      <c r="CE181" s="464">
        <v>2114</v>
      </c>
      <c r="CF181" s="465">
        <v>2442</v>
      </c>
      <c r="CG181" s="465">
        <v>2724</v>
      </c>
      <c r="CH181" s="466">
        <v>3006</v>
      </c>
      <c r="CI181" s="3"/>
      <c r="CJ181" s="857">
        <v>928</v>
      </c>
      <c r="CK181" s="857">
        <v>1119</v>
      </c>
      <c r="CL181" s="857">
        <v>1338</v>
      </c>
      <c r="CM181" s="857">
        <v>1875</v>
      </c>
      <c r="CN181" s="857">
        <v>2247</v>
      </c>
      <c r="CR181" s="23" t="s">
        <v>221</v>
      </c>
      <c r="CS181" s="321">
        <v>402640</v>
      </c>
      <c r="CT181" s="321">
        <v>464240</v>
      </c>
      <c r="CU181" s="321">
        <v>560000</v>
      </c>
      <c r="CV181" s="321">
        <v>716800</v>
      </c>
      <c r="CW181" s="321">
        <v>798560</v>
      </c>
      <c r="CX181" s="14"/>
      <c r="CY181" s="23" t="s">
        <v>221</v>
      </c>
      <c r="CZ181" s="321">
        <v>402640</v>
      </c>
      <c r="DA181" s="321">
        <v>464240</v>
      </c>
      <c r="DB181" s="321">
        <v>560000</v>
      </c>
      <c r="DC181" s="321">
        <v>716800</v>
      </c>
      <c r="DD181" s="321">
        <v>798560</v>
      </c>
    </row>
    <row r="182" spans="1:108" ht="12.95" customHeight="1">
      <c r="C182" s="530"/>
      <c r="BN182" s="23" t="s">
        <v>226</v>
      </c>
      <c r="BS182">
        <v>7</v>
      </c>
      <c r="BT182" t="s">
        <v>60</v>
      </c>
      <c r="CB182" s="350" t="s">
        <v>54</v>
      </c>
      <c r="CC182" s="464">
        <v>1644</v>
      </c>
      <c r="CD182" s="465">
        <v>1762</v>
      </c>
      <c r="CE182" s="464">
        <v>2114</v>
      </c>
      <c r="CF182" s="465">
        <v>2442</v>
      </c>
      <c r="CG182" s="465">
        <v>2724</v>
      </c>
      <c r="CH182" s="466">
        <v>3006</v>
      </c>
      <c r="CI182" s="3"/>
      <c r="CJ182" s="857">
        <v>1173</v>
      </c>
      <c r="CK182" s="857">
        <v>1220</v>
      </c>
      <c r="CL182" s="857">
        <v>1601</v>
      </c>
      <c r="CM182" s="857">
        <v>2243</v>
      </c>
      <c r="CN182" s="857">
        <v>2688</v>
      </c>
      <c r="CR182" s="23" t="s">
        <v>222</v>
      </c>
      <c r="CS182" s="323">
        <v>402640</v>
      </c>
      <c r="CT182" s="323">
        <v>464240</v>
      </c>
      <c r="CU182" s="323">
        <v>560000</v>
      </c>
      <c r="CV182" s="323">
        <v>716800</v>
      </c>
      <c r="CW182" s="323">
        <v>798560</v>
      </c>
      <c r="CX182" s="14"/>
      <c r="CY182" s="23" t="s">
        <v>222</v>
      </c>
      <c r="CZ182" s="323">
        <v>402640</v>
      </c>
      <c r="DA182" s="323">
        <v>464240</v>
      </c>
      <c r="DB182" s="323">
        <v>560000</v>
      </c>
      <c r="DC182" s="323">
        <v>716800</v>
      </c>
      <c r="DD182" s="323">
        <v>798560</v>
      </c>
    </row>
    <row r="183" spans="1:108" ht="12.95" customHeight="1">
      <c r="A183" s="2" t="s">
        <v>576</v>
      </c>
      <c r="C183" s="2" t="s">
        <v>577</v>
      </c>
      <c r="BN183" s="23" t="s">
        <v>228</v>
      </c>
      <c r="BS183">
        <v>4</v>
      </c>
      <c r="BT183" t="s">
        <v>61</v>
      </c>
      <c r="CB183" s="350" t="s">
        <v>55</v>
      </c>
      <c r="CC183" s="464">
        <v>1644</v>
      </c>
      <c r="CD183" s="465">
        <v>1762</v>
      </c>
      <c r="CE183" s="464">
        <v>2114</v>
      </c>
      <c r="CF183" s="465">
        <v>2442</v>
      </c>
      <c r="CG183" s="465">
        <v>2724</v>
      </c>
      <c r="CH183" s="466">
        <v>3006</v>
      </c>
      <c r="CI183" s="3"/>
      <c r="CJ183" s="857">
        <v>1071</v>
      </c>
      <c r="CK183" s="857">
        <v>1227</v>
      </c>
      <c r="CL183" s="857">
        <v>1509</v>
      </c>
      <c r="CM183" s="857">
        <v>2081</v>
      </c>
      <c r="CN183" s="857">
        <v>2534</v>
      </c>
      <c r="CR183" s="23" t="s">
        <v>224</v>
      </c>
      <c r="CS183" s="321">
        <v>323262</v>
      </c>
      <c r="CT183" s="321">
        <v>372718</v>
      </c>
      <c r="CU183" s="321">
        <v>449600</v>
      </c>
      <c r="CV183" s="321">
        <v>575488</v>
      </c>
      <c r="CW183" s="321">
        <v>641130</v>
      </c>
      <c r="CX183" s="14"/>
      <c r="CY183" s="23" t="s">
        <v>224</v>
      </c>
      <c r="CZ183" s="321">
        <v>323262</v>
      </c>
      <c r="DA183" s="321">
        <v>372718</v>
      </c>
      <c r="DB183" s="321">
        <v>449600</v>
      </c>
      <c r="DC183" s="321">
        <v>575488</v>
      </c>
      <c r="DD183" s="321">
        <v>641130</v>
      </c>
    </row>
    <row r="184" spans="1:108" ht="12.95" customHeight="1">
      <c r="C184" s="21"/>
      <c r="D184" t="s">
        <v>578</v>
      </c>
      <c r="I184" s="1314" t="str">
        <f>H18</f>
        <v>Park Street Apartments</v>
      </c>
      <c r="J184" s="1314"/>
      <c r="K184" s="1314"/>
      <c r="L184" s="1314"/>
      <c r="M184" s="1314"/>
      <c r="N184" s="1314"/>
      <c r="O184" s="1314"/>
      <c r="P184" s="1314"/>
      <c r="Q184" s="1314"/>
      <c r="R184" s="1314"/>
      <c r="S184" s="1314"/>
      <c r="T184" s="1314"/>
      <c r="U184" s="1314"/>
      <c r="V184" s="1314"/>
      <c r="W184" s="1314"/>
      <c r="X184" s="1314"/>
      <c r="Y184" s="1314"/>
      <c r="Z184" s="1314"/>
      <c r="AA184" s="1314"/>
      <c r="AB184" s="1314"/>
      <c r="AC184" s="1314"/>
      <c r="AD184" s="1314"/>
      <c r="AE184" s="1314"/>
      <c r="BC184" t="s">
        <v>587</v>
      </c>
      <c r="BN184" s="23" t="s">
        <v>230</v>
      </c>
      <c r="BS184">
        <v>4</v>
      </c>
      <c r="BT184" t="s">
        <v>62</v>
      </c>
      <c r="CB184" s="350" t="s">
        <v>56</v>
      </c>
      <c r="CC184" s="464">
        <v>1644</v>
      </c>
      <c r="CD184" s="465">
        <v>1762</v>
      </c>
      <c r="CE184" s="464">
        <v>2114</v>
      </c>
      <c r="CF184" s="465">
        <v>2442</v>
      </c>
      <c r="CG184" s="465">
        <v>2724</v>
      </c>
      <c r="CH184" s="466">
        <v>3006</v>
      </c>
      <c r="CI184" s="3"/>
      <c r="CJ184" s="857">
        <v>731</v>
      </c>
      <c r="CK184" s="857">
        <v>886</v>
      </c>
      <c r="CL184" s="857">
        <v>1054</v>
      </c>
      <c r="CM184" s="857">
        <v>1270</v>
      </c>
      <c r="CN184" s="857">
        <v>1748</v>
      </c>
      <c r="CR184" s="23" t="s">
        <v>225</v>
      </c>
      <c r="CS184" s="323">
        <v>402640</v>
      </c>
      <c r="CT184" s="323">
        <v>464240</v>
      </c>
      <c r="CU184" s="323">
        <v>560000</v>
      </c>
      <c r="CV184" s="323">
        <v>716800</v>
      </c>
      <c r="CW184" s="323">
        <v>798560</v>
      </c>
      <c r="CX184" s="14"/>
      <c r="CY184" s="23" t="s">
        <v>225</v>
      </c>
      <c r="CZ184" s="323">
        <v>402640</v>
      </c>
      <c r="DA184" s="323">
        <v>464240</v>
      </c>
      <c r="DB184" s="323">
        <v>560000</v>
      </c>
      <c r="DC184" s="323">
        <v>716800</v>
      </c>
      <c r="DD184" s="323">
        <v>798560</v>
      </c>
    </row>
    <row r="185" spans="1:108" ht="12.95" customHeight="1">
      <c r="C185" s="21"/>
      <c r="D185" t="s">
        <v>579</v>
      </c>
      <c r="I185" s="1399" t="s">
        <v>2651</v>
      </c>
      <c r="J185" s="1399"/>
      <c r="K185" s="1399"/>
      <c r="L185" s="1399"/>
      <c r="M185" s="1399"/>
      <c r="N185" s="1399"/>
      <c r="O185" s="1399"/>
      <c r="P185" s="1399"/>
      <c r="Q185" s="1399"/>
      <c r="R185" s="1399"/>
      <c r="S185" s="1399"/>
      <c r="T185" s="1399"/>
      <c r="U185" s="1399"/>
      <c r="V185" s="1399"/>
      <c r="W185" s="1399"/>
      <c r="X185" s="1399"/>
      <c r="Y185" s="1399"/>
      <c r="Z185" s="1399"/>
      <c r="AA185" s="1399"/>
      <c r="AB185" s="1399"/>
      <c r="AC185" s="1399"/>
      <c r="AD185" s="1399"/>
      <c r="AE185" s="1399"/>
      <c r="BC185" t="s">
        <v>588</v>
      </c>
      <c r="BN185" s="23" t="s">
        <v>231</v>
      </c>
      <c r="BS185">
        <v>7</v>
      </c>
      <c r="BT185" t="s">
        <v>63</v>
      </c>
      <c r="CB185" s="350" t="s">
        <v>60</v>
      </c>
      <c r="CC185" s="464">
        <v>1784</v>
      </c>
      <c r="CD185" s="465">
        <v>1912</v>
      </c>
      <c r="CE185" s="464">
        <v>2294</v>
      </c>
      <c r="CF185" s="465">
        <v>2652</v>
      </c>
      <c r="CG185" s="465">
        <v>2960</v>
      </c>
      <c r="CH185" s="466">
        <v>3266</v>
      </c>
      <c r="CI185" s="3"/>
      <c r="CJ185" s="857">
        <v>1036</v>
      </c>
      <c r="CK185" s="857">
        <v>1348</v>
      </c>
      <c r="CL185" s="857">
        <v>1493</v>
      </c>
      <c r="CM185" s="857">
        <v>2092</v>
      </c>
      <c r="CN185" s="857">
        <v>2476</v>
      </c>
      <c r="CR185" s="23" t="s">
        <v>226</v>
      </c>
      <c r="CS185" s="321">
        <v>402640</v>
      </c>
      <c r="CT185" s="321">
        <v>464240</v>
      </c>
      <c r="CU185" s="321">
        <v>560000</v>
      </c>
      <c r="CV185" s="321">
        <v>716800</v>
      </c>
      <c r="CW185" s="321">
        <v>798560</v>
      </c>
      <c r="CX185" s="14"/>
      <c r="CY185" s="23" t="s">
        <v>226</v>
      </c>
      <c r="CZ185" s="321">
        <v>402640</v>
      </c>
      <c r="DA185" s="321">
        <v>464240</v>
      </c>
      <c r="DB185" s="321">
        <v>560000</v>
      </c>
      <c r="DC185" s="321">
        <v>716800</v>
      </c>
      <c r="DD185" s="321">
        <v>798560</v>
      </c>
    </row>
    <row r="186" spans="1:108" ht="12.95" customHeight="1">
      <c r="C186" s="21"/>
      <c r="E186" t="s">
        <v>168</v>
      </c>
      <c r="BN186" s="23" t="s">
        <v>232</v>
      </c>
      <c r="BS186">
        <v>4</v>
      </c>
      <c r="BT186" t="s">
        <v>64</v>
      </c>
      <c r="CB186" s="350" t="s">
        <v>61</v>
      </c>
      <c r="CC186" s="464">
        <v>2530</v>
      </c>
      <c r="CD186" s="465">
        <v>2710</v>
      </c>
      <c r="CE186" s="464">
        <v>3254</v>
      </c>
      <c r="CF186" s="465">
        <v>3760</v>
      </c>
      <c r="CG186" s="465">
        <v>4192</v>
      </c>
      <c r="CH186" s="466">
        <v>4626</v>
      </c>
      <c r="CI186" s="3"/>
      <c r="CJ186" s="857">
        <v>2414</v>
      </c>
      <c r="CK186" s="857">
        <v>2479</v>
      </c>
      <c r="CL186" s="857">
        <v>2982</v>
      </c>
      <c r="CM186" s="857">
        <v>4025</v>
      </c>
      <c r="CN186" s="857">
        <v>4383</v>
      </c>
      <c r="CR186" s="23" t="s">
        <v>228</v>
      </c>
      <c r="CS186" s="323">
        <v>442904</v>
      </c>
      <c r="CT186" s="323">
        <v>510664</v>
      </c>
      <c r="CU186" s="323">
        <v>616000</v>
      </c>
      <c r="CV186" s="323">
        <v>788480</v>
      </c>
      <c r="CW186" s="323">
        <v>878416</v>
      </c>
      <c r="CX186" s="14"/>
      <c r="CY186" s="23" t="s">
        <v>228</v>
      </c>
      <c r="CZ186" s="323">
        <v>442904</v>
      </c>
      <c r="DA186" s="323">
        <v>510664</v>
      </c>
      <c r="DB186" s="323">
        <v>616000</v>
      </c>
      <c r="DC186" s="323">
        <v>788480</v>
      </c>
      <c r="DD186" s="323">
        <v>878416</v>
      </c>
    </row>
    <row r="187" spans="1:108" ht="12.95" customHeight="1">
      <c r="C187" s="21"/>
      <c r="E187" s="1449"/>
      <c r="F187" s="1449"/>
      <c r="G187" s="1449"/>
      <c r="H187" s="1449"/>
      <c r="I187" s="1449"/>
      <c r="J187" s="1449"/>
      <c r="K187" s="1449"/>
      <c r="L187" s="1449"/>
      <c r="M187" s="1449"/>
      <c r="N187" s="1449"/>
      <c r="O187" s="1449"/>
      <c r="P187" s="1449"/>
      <c r="Q187" s="1449"/>
      <c r="R187" s="1449"/>
      <c r="S187" s="1449"/>
      <c r="T187" s="1449"/>
      <c r="U187" s="1449"/>
      <c r="V187" s="1449"/>
      <c r="W187" s="1449"/>
      <c r="X187" s="1449"/>
      <c r="Y187" s="1449"/>
      <c r="Z187" s="1449"/>
      <c r="AA187" s="1449"/>
      <c r="AB187" s="1449"/>
      <c r="AC187" s="1449"/>
      <c r="AD187" s="1449"/>
      <c r="AE187" s="1449"/>
      <c r="BN187" s="23" t="s">
        <v>233</v>
      </c>
      <c r="BS187">
        <v>6</v>
      </c>
      <c r="BT187" t="s">
        <v>65</v>
      </c>
      <c r="CB187" s="350" t="s">
        <v>62</v>
      </c>
      <c r="CC187" s="464">
        <v>2804</v>
      </c>
      <c r="CD187" s="465">
        <v>3004</v>
      </c>
      <c r="CE187" s="464">
        <v>3606</v>
      </c>
      <c r="CF187" s="465">
        <v>4168</v>
      </c>
      <c r="CG187" s="465">
        <v>4650</v>
      </c>
      <c r="CH187" s="466">
        <v>5130</v>
      </c>
      <c r="CI187" s="3"/>
      <c r="CJ187" s="857">
        <v>1915</v>
      </c>
      <c r="CK187" s="857">
        <v>2128</v>
      </c>
      <c r="CL187" s="857">
        <v>2792</v>
      </c>
      <c r="CM187" s="857">
        <v>3636</v>
      </c>
      <c r="CN187" s="857">
        <v>4144</v>
      </c>
      <c r="CR187" s="23" t="s">
        <v>230</v>
      </c>
      <c r="CS187" s="321">
        <v>406666</v>
      </c>
      <c r="CT187" s="321">
        <v>468882</v>
      </c>
      <c r="CU187" s="321">
        <v>565600</v>
      </c>
      <c r="CV187" s="321">
        <v>723968</v>
      </c>
      <c r="CW187" s="321">
        <v>806546</v>
      </c>
      <c r="CX187" s="14"/>
      <c r="CY187" s="23" t="s">
        <v>230</v>
      </c>
      <c r="CZ187" s="321">
        <v>406666</v>
      </c>
      <c r="DA187" s="321">
        <v>468882</v>
      </c>
      <c r="DB187" s="321">
        <v>565600</v>
      </c>
      <c r="DC187" s="321">
        <v>723968</v>
      </c>
      <c r="DD187" s="321">
        <v>806546</v>
      </c>
    </row>
    <row r="188" spans="1:108" ht="12.95" customHeight="1">
      <c r="C188" s="21"/>
      <c r="E188" s="1450"/>
      <c r="F188" s="1450"/>
      <c r="G188" s="1450"/>
      <c r="H188" s="1450"/>
      <c r="I188" s="1450"/>
      <c r="J188" s="1450"/>
      <c r="K188" s="1450"/>
      <c r="L188" s="1450"/>
      <c r="M188" s="1450"/>
      <c r="N188" s="1450"/>
      <c r="O188" s="1450"/>
      <c r="P188" s="1450"/>
      <c r="Q188" s="1450"/>
      <c r="R188" s="1450"/>
      <c r="S188" s="1450"/>
      <c r="T188" s="1450"/>
      <c r="U188" s="1450"/>
      <c r="V188" s="1450"/>
      <c r="W188" s="1450"/>
      <c r="X188" s="1450"/>
      <c r="Y188" s="1450"/>
      <c r="Z188" s="1450"/>
      <c r="AA188" s="1450"/>
      <c r="AB188" s="1450"/>
      <c r="AC188" s="1450"/>
      <c r="AD188" s="1450"/>
      <c r="AE188" s="1450"/>
      <c r="BN188" s="23" t="s">
        <v>235</v>
      </c>
      <c r="BS188">
        <v>7</v>
      </c>
      <c r="BT188" t="s">
        <v>66</v>
      </c>
      <c r="CB188" s="350" t="s">
        <v>63</v>
      </c>
      <c r="CC188" s="464">
        <v>1992</v>
      </c>
      <c r="CD188" s="465">
        <v>2132</v>
      </c>
      <c r="CE188" s="464">
        <v>2560</v>
      </c>
      <c r="CF188" s="465">
        <v>2958</v>
      </c>
      <c r="CG188" s="465">
        <v>3300</v>
      </c>
      <c r="CH188" s="466">
        <v>3642</v>
      </c>
      <c r="CI188" s="3"/>
      <c r="CJ188" s="857">
        <v>1352</v>
      </c>
      <c r="CK188" s="857">
        <v>1361</v>
      </c>
      <c r="CL188" s="857">
        <v>1785</v>
      </c>
      <c r="CM188" s="857">
        <v>2501</v>
      </c>
      <c r="CN188" s="857">
        <v>2997</v>
      </c>
      <c r="CR188" s="23" t="s">
        <v>231</v>
      </c>
      <c r="CS188" s="323">
        <v>402640</v>
      </c>
      <c r="CT188" s="323">
        <v>464240</v>
      </c>
      <c r="CU188" s="323">
        <v>560000</v>
      </c>
      <c r="CV188" s="323">
        <v>716800</v>
      </c>
      <c r="CW188" s="323">
        <v>798560</v>
      </c>
      <c r="CX188" s="14"/>
      <c r="CY188" s="23" t="s">
        <v>231</v>
      </c>
      <c r="CZ188" s="323">
        <v>402640</v>
      </c>
      <c r="DA188" s="323">
        <v>464240</v>
      </c>
      <c r="DB188" s="323">
        <v>560000</v>
      </c>
      <c r="DC188" s="323">
        <v>716800</v>
      </c>
      <c r="DD188" s="323">
        <v>798560</v>
      </c>
    </row>
    <row r="189" spans="1:108" ht="12.95" customHeight="1">
      <c r="C189" s="21"/>
      <c r="D189" t="s">
        <v>580</v>
      </c>
      <c r="I189" s="1358" t="s">
        <v>2652</v>
      </c>
      <c r="J189" s="1359"/>
      <c r="K189" s="1359"/>
      <c r="L189" s="1359"/>
      <c r="M189" s="1359"/>
      <c r="N189" s="1359"/>
      <c r="O189" s="1359"/>
      <c r="P189" s="1359"/>
      <c r="Q189" t="s">
        <v>582</v>
      </c>
      <c r="T189" s="1359" t="s">
        <v>482</v>
      </c>
      <c r="U189" s="1359"/>
      <c r="V189" s="1359"/>
      <c r="W189" s="1359"/>
      <c r="X189" s="1359"/>
      <c r="Y189" s="1359"/>
      <c r="Z189" s="1359"/>
      <c r="AA189" s="1359"/>
      <c r="AB189" s="1359"/>
      <c r="AC189" s="1359"/>
      <c r="AD189" s="1359"/>
      <c r="AE189" s="1359"/>
      <c r="BC189" t="s">
        <v>307</v>
      </c>
      <c r="BH189" s="3" t="s">
        <v>591</v>
      </c>
      <c r="BN189" s="23" t="s">
        <v>236</v>
      </c>
      <c r="BS189">
        <v>5</v>
      </c>
      <c r="BT189" t="s">
        <v>67</v>
      </c>
      <c r="CB189" s="350" t="s">
        <v>64</v>
      </c>
      <c r="CC189" s="464">
        <v>2962</v>
      </c>
      <c r="CD189" s="465">
        <v>3172</v>
      </c>
      <c r="CE189" s="464">
        <v>3806</v>
      </c>
      <c r="CF189" s="465">
        <v>4400</v>
      </c>
      <c r="CG189" s="465">
        <v>4906</v>
      </c>
      <c r="CH189" s="466">
        <v>5416</v>
      </c>
      <c r="CI189" s="34"/>
      <c r="CJ189" s="1036">
        <v>2352</v>
      </c>
      <c r="CK189" s="1036">
        <v>2454</v>
      </c>
      <c r="CL189" s="1036">
        <v>2903</v>
      </c>
      <c r="CM189" s="1036">
        <v>3927</v>
      </c>
      <c r="CN189" s="1036">
        <v>4693</v>
      </c>
      <c r="CR189" s="23" t="s">
        <v>232</v>
      </c>
      <c r="CS189" s="321">
        <v>402065</v>
      </c>
      <c r="CT189" s="321">
        <v>463577</v>
      </c>
      <c r="CU189" s="321">
        <v>559200</v>
      </c>
      <c r="CV189" s="321">
        <v>715776</v>
      </c>
      <c r="CW189" s="321">
        <v>797419</v>
      </c>
      <c r="CX189" s="14"/>
      <c r="CY189" s="23" t="s">
        <v>232</v>
      </c>
      <c r="CZ189" s="321">
        <v>402065</v>
      </c>
      <c r="DA189" s="321">
        <v>463577</v>
      </c>
      <c r="DB189" s="321">
        <v>559200</v>
      </c>
      <c r="DC189" s="321">
        <v>715776</v>
      </c>
      <c r="DD189" s="321">
        <v>797419</v>
      </c>
    </row>
    <row r="190" spans="1:108" ht="12.95" customHeight="1">
      <c r="C190" s="21"/>
      <c r="D190" t="s">
        <v>583</v>
      </c>
      <c r="I190" s="1399">
        <v>94556</v>
      </c>
      <c r="J190" s="1399"/>
      <c r="K190" s="1399"/>
      <c r="L190" s="1399"/>
      <c r="M190" s="1399"/>
      <c r="N190" s="1399"/>
      <c r="O190" t="s">
        <v>585</v>
      </c>
      <c r="T190" s="1485">
        <v>3522.01</v>
      </c>
      <c r="U190" s="1485"/>
      <c r="V190" s="1485"/>
      <c r="W190" s="1485"/>
      <c r="X190" s="1485"/>
      <c r="Y190" s="1485"/>
      <c r="Z190" s="1485"/>
      <c r="AA190" s="1485"/>
      <c r="AB190" s="1485"/>
      <c r="AC190" s="1485"/>
      <c r="AD190" s="1485"/>
      <c r="AE190" s="1485"/>
      <c r="BC190" t="s">
        <v>1041</v>
      </c>
      <c r="BH190" t="s">
        <v>1041</v>
      </c>
      <c r="BN190" s="23" t="s">
        <v>635</v>
      </c>
      <c r="BS190">
        <v>6</v>
      </c>
      <c r="BT190" t="s">
        <v>68</v>
      </c>
      <c r="CB190" s="350" t="s">
        <v>65</v>
      </c>
      <c r="CC190" s="464">
        <v>2252</v>
      </c>
      <c r="CD190" s="465">
        <v>2412</v>
      </c>
      <c r="CE190" s="464">
        <v>2894</v>
      </c>
      <c r="CF190" s="465">
        <v>3342</v>
      </c>
      <c r="CG190" s="465">
        <v>3730</v>
      </c>
      <c r="CH190" s="466">
        <v>4116</v>
      </c>
      <c r="CI190" s="34"/>
      <c r="CJ190" s="1036">
        <v>1679</v>
      </c>
      <c r="CK190" s="1036">
        <v>1777</v>
      </c>
      <c r="CL190" s="1036">
        <v>2206</v>
      </c>
      <c r="CM190" s="1036">
        <v>2992</v>
      </c>
      <c r="CN190" s="1036">
        <v>3455</v>
      </c>
      <c r="CR190" s="23" t="s">
        <v>233</v>
      </c>
      <c r="CS190" s="323">
        <v>360075</v>
      </c>
      <c r="CT190" s="323">
        <v>415163</v>
      </c>
      <c r="CU190" s="323">
        <v>500800</v>
      </c>
      <c r="CV190" s="323">
        <v>641024</v>
      </c>
      <c r="CW190" s="323">
        <v>714141</v>
      </c>
      <c r="CX190" s="14"/>
      <c r="CY190" s="23" t="s">
        <v>233</v>
      </c>
      <c r="CZ190" s="323">
        <v>360075</v>
      </c>
      <c r="DA190" s="323">
        <v>415163</v>
      </c>
      <c r="DB190" s="323">
        <v>500800</v>
      </c>
      <c r="DC190" s="323">
        <v>641024</v>
      </c>
      <c r="DD190" s="323">
        <v>714141</v>
      </c>
    </row>
    <row r="191" spans="1:108" ht="12.95" customHeight="1">
      <c r="C191" s="21"/>
      <c r="D191" t="s">
        <v>462</v>
      </c>
      <c r="N191" s="1481" t="s">
        <v>2661</v>
      </c>
      <c r="O191" s="1449"/>
      <c r="P191" s="1449"/>
      <c r="Q191" s="1449"/>
      <c r="R191" s="1449"/>
      <c r="S191" s="1449"/>
      <c r="T191" s="1449"/>
      <c r="U191" s="1449"/>
      <c r="V191" s="1449"/>
      <c r="W191" s="1449"/>
      <c r="X191" s="1449"/>
      <c r="Y191" s="1449"/>
      <c r="Z191" s="1449"/>
      <c r="AA191" s="1449"/>
      <c r="AB191" s="1449"/>
      <c r="AC191" s="1449"/>
      <c r="AD191" s="1449"/>
      <c r="AE191" s="1449"/>
      <c r="BC191" t="s">
        <v>1040</v>
      </c>
      <c r="BH191" t="s">
        <v>1040</v>
      </c>
      <c r="BN191" s="23" t="s">
        <v>688</v>
      </c>
      <c r="BS191">
        <v>4</v>
      </c>
      <c r="BT191" t="s">
        <v>727</v>
      </c>
      <c r="CB191" s="350" t="s">
        <v>66</v>
      </c>
      <c r="CC191" s="464">
        <v>1670</v>
      </c>
      <c r="CD191" s="465">
        <v>1788</v>
      </c>
      <c r="CE191" s="464">
        <v>2144</v>
      </c>
      <c r="CF191" s="465">
        <v>2478</v>
      </c>
      <c r="CG191" s="465">
        <v>2764</v>
      </c>
      <c r="CH191" s="466">
        <v>3050</v>
      </c>
      <c r="CI191" s="34"/>
      <c r="CJ191" s="1036">
        <v>904</v>
      </c>
      <c r="CK191" s="1036">
        <v>1005</v>
      </c>
      <c r="CL191" s="1036">
        <v>1318</v>
      </c>
      <c r="CM191" s="1036">
        <v>1847</v>
      </c>
      <c r="CN191" s="1036">
        <v>1883</v>
      </c>
      <c r="CR191" s="23" t="s">
        <v>235</v>
      </c>
      <c r="CS191" s="321">
        <v>402640</v>
      </c>
      <c r="CT191" s="321">
        <v>464240</v>
      </c>
      <c r="CU191" s="321">
        <v>560000</v>
      </c>
      <c r="CV191" s="321">
        <v>716800</v>
      </c>
      <c r="CW191" s="321">
        <v>798560</v>
      </c>
      <c r="CX191" s="14"/>
      <c r="CY191" s="23" t="s">
        <v>235</v>
      </c>
      <c r="CZ191" s="321">
        <v>402640</v>
      </c>
      <c r="DA191" s="321">
        <v>464240</v>
      </c>
      <c r="DB191" s="321">
        <v>560000</v>
      </c>
      <c r="DC191" s="321">
        <v>716800</v>
      </c>
      <c r="DD191" s="321">
        <v>798560</v>
      </c>
    </row>
    <row r="192" spans="1:108" ht="12.95" customHeight="1">
      <c r="C192" s="21"/>
      <c r="M192" s="40"/>
      <c r="N192" s="1450"/>
      <c r="O192" s="1450"/>
      <c r="P192" s="1450"/>
      <c r="Q192" s="1450"/>
      <c r="R192" s="1450"/>
      <c r="S192" s="1450"/>
      <c r="T192" s="1450"/>
      <c r="U192" s="1450"/>
      <c r="V192" s="1450"/>
      <c r="W192" s="1450"/>
      <c r="X192" s="1450"/>
      <c r="Y192" s="1450"/>
      <c r="Z192" s="1450"/>
      <c r="AA192" s="1450"/>
      <c r="AB192" s="1450"/>
      <c r="AC192" s="1450"/>
      <c r="AD192" s="1450"/>
      <c r="AE192" s="1450"/>
      <c r="BC192" t="s">
        <v>1043</v>
      </c>
      <c r="BH192" s="3" t="s">
        <v>1358</v>
      </c>
      <c r="BN192" s="23" t="s">
        <v>689</v>
      </c>
      <c r="BS192">
        <v>5</v>
      </c>
      <c r="BT192" t="s">
        <v>728</v>
      </c>
      <c r="CB192" s="350" t="s">
        <v>67</v>
      </c>
      <c r="CC192" s="464">
        <v>1960</v>
      </c>
      <c r="CD192" s="465">
        <v>2098</v>
      </c>
      <c r="CE192" s="464">
        <v>2516</v>
      </c>
      <c r="CF192" s="465">
        <v>2910</v>
      </c>
      <c r="CG192" s="465">
        <v>3244</v>
      </c>
      <c r="CH192" s="466">
        <v>3580</v>
      </c>
      <c r="CI192" s="34"/>
      <c r="CJ192" s="1036">
        <v>1776</v>
      </c>
      <c r="CK192" s="1036">
        <v>1852</v>
      </c>
      <c r="CL192" s="1036">
        <v>2306</v>
      </c>
      <c r="CM192" s="1036">
        <v>3079</v>
      </c>
      <c r="CN192" s="1036">
        <v>3745</v>
      </c>
      <c r="CR192" s="23" t="s">
        <v>236</v>
      </c>
      <c r="CS192" s="323">
        <v>381933</v>
      </c>
      <c r="CT192" s="323">
        <v>440365</v>
      </c>
      <c r="CU192" s="323">
        <v>531200</v>
      </c>
      <c r="CV192" s="323">
        <v>679936</v>
      </c>
      <c r="CW192" s="323">
        <v>757491</v>
      </c>
      <c r="CX192" s="14"/>
      <c r="CY192" s="23" t="s">
        <v>236</v>
      </c>
      <c r="CZ192" s="323">
        <v>381933</v>
      </c>
      <c r="DA192" s="323">
        <v>440365</v>
      </c>
      <c r="DB192" s="323">
        <v>531200</v>
      </c>
      <c r="DC192" s="323">
        <v>679936</v>
      </c>
      <c r="DD192" s="323">
        <v>757491</v>
      </c>
    </row>
    <row r="193" spans="1:108" ht="12.95" customHeight="1">
      <c r="C193" s="21"/>
      <c r="D193" t="s">
        <v>2036</v>
      </c>
      <c r="M193" s="40"/>
      <c r="N193" s="890"/>
      <c r="O193" s="890"/>
      <c r="P193" s="890"/>
      <c r="Q193" s="890"/>
      <c r="R193" s="890"/>
      <c r="S193" s="890"/>
      <c r="T193" s="1489" t="s">
        <v>1910</v>
      </c>
      <c r="U193" s="1489"/>
      <c r="V193" s="1489"/>
      <c r="W193" s="1489"/>
      <c r="X193" s="1489"/>
      <c r="Y193" s="1489"/>
      <c r="Z193" s="1489"/>
      <c r="AA193" s="1489"/>
      <c r="AB193" s="1489"/>
      <c r="AC193" s="1489"/>
      <c r="AD193" s="1489"/>
      <c r="AE193" s="1489"/>
      <c r="AF193" s="1489"/>
      <c r="AG193" s="1489"/>
      <c r="AH193" s="1489"/>
      <c r="AI193" s="1489"/>
      <c r="BC193" t="s">
        <v>1042</v>
      </c>
      <c r="BH193" s="3" t="s">
        <v>1618</v>
      </c>
      <c r="BN193" s="23" t="s">
        <v>690</v>
      </c>
      <c r="BS193">
        <v>4</v>
      </c>
      <c r="BT193" t="s">
        <v>729</v>
      </c>
      <c r="CB193" s="350" t="s">
        <v>68</v>
      </c>
      <c r="CC193" s="464">
        <v>2252</v>
      </c>
      <c r="CD193" s="465">
        <v>2412</v>
      </c>
      <c r="CE193" s="464">
        <v>2894</v>
      </c>
      <c r="CF193" s="465">
        <v>3342</v>
      </c>
      <c r="CG193" s="465">
        <v>3730</v>
      </c>
      <c r="CH193" s="466">
        <v>4116</v>
      </c>
      <c r="CI193" s="34"/>
      <c r="CJ193" s="1036">
        <v>1679</v>
      </c>
      <c r="CK193" s="1036">
        <v>1777</v>
      </c>
      <c r="CL193" s="1036">
        <v>2206</v>
      </c>
      <c r="CM193" s="1036">
        <v>2992</v>
      </c>
      <c r="CN193" s="1036">
        <v>3455</v>
      </c>
      <c r="CR193" s="23" t="s">
        <v>635</v>
      </c>
      <c r="CS193" s="321">
        <v>360075</v>
      </c>
      <c r="CT193" s="321">
        <v>415163</v>
      </c>
      <c r="CU193" s="321">
        <v>500800</v>
      </c>
      <c r="CV193" s="321">
        <v>641024</v>
      </c>
      <c r="CW193" s="321">
        <v>714141</v>
      </c>
      <c r="CX193" s="14"/>
      <c r="CY193" s="23" t="s">
        <v>635</v>
      </c>
      <c r="CZ193" s="321">
        <v>360075</v>
      </c>
      <c r="DA193" s="321">
        <v>415163</v>
      </c>
      <c r="DB193" s="321">
        <v>500800</v>
      </c>
      <c r="DC193" s="321">
        <v>641024</v>
      </c>
      <c r="DD193" s="321">
        <v>714141</v>
      </c>
    </row>
    <row r="194" spans="1:108" ht="12.95" customHeight="1">
      <c r="C194" s="21"/>
      <c r="D194" s="3" t="s">
        <v>2169</v>
      </c>
      <c r="M194" s="40"/>
      <c r="N194" s="890"/>
      <c r="O194" s="890"/>
      <c r="P194" s="890"/>
      <c r="Q194" s="890"/>
      <c r="R194" s="890"/>
      <c r="S194" s="890"/>
      <c r="AH194" s="1324" t="s">
        <v>669</v>
      </c>
      <c r="AI194" s="1324"/>
      <c r="BC194" t="s">
        <v>1358</v>
      </c>
      <c r="BN194" s="23" t="s">
        <v>691</v>
      </c>
      <c r="BS194">
        <v>2</v>
      </c>
      <c r="BT194" t="s">
        <v>730</v>
      </c>
      <c r="CB194" s="350" t="s">
        <v>727</v>
      </c>
      <c r="CC194" s="464">
        <v>2340</v>
      </c>
      <c r="CD194" s="465">
        <v>2506</v>
      </c>
      <c r="CE194" s="464">
        <v>3006</v>
      </c>
      <c r="CF194" s="465">
        <v>3472</v>
      </c>
      <c r="CG194" s="465">
        <v>3874</v>
      </c>
      <c r="CH194" s="466">
        <v>4276</v>
      </c>
      <c r="CI194" s="34"/>
      <c r="CJ194" s="1036">
        <v>1799</v>
      </c>
      <c r="CK194" s="1036">
        <v>1999</v>
      </c>
      <c r="CL194" s="1036">
        <v>2623</v>
      </c>
      <c r="CM194" s="1036">
        <v>3655</v>
      </c>
      <c r="CN194" s="1036">
        <v>4046</v>
      </c>
      <c r="CR194" s="23" t="s">
        <v>688</v>
      </c>
      <c r="CS194" s="323">
        <v>402640</v>
      </c>
      <c r="CT194" s="323">
        <v>464240</v>
      </c>
      <c r="CU194" s="323">
        <v>560000</v>
      </c>
      <c r="CV194" s="323">
        <v>716800</v>
      </c>
      <c r="CW194" s="323">
        <v>798560</v>
      </c>
      <c r="CX194" s="14"/>
      <c r="CY194" s="23" t="s">
        <v>688</v>
      </c>
      <c r="CZ194" s="323">
        <v>402640</v>
      </c>
      <c r="DA194" s="323">
        <v>464240</v>
      </c>
      <c r="DB194" s="323">
        <v>560000</v>
      </c>
      <c r="DC194" s="323">
        <v>716800</v>
      </c>
      <c r="DD194" s="323">
        <v>798560</v>
      </c>
    </row>
    <row r="195" spans="1:108" ht="12.95" customHeight="1">
      <c r="C195" s="21"/>
      <c r="D195" t="s">
        <v>331</v>
      </c>
      <c r="T195" s="1324" t="s">
        <v>545</v>
      </c>
      <c r="U195" s="1324"/>
      <c r="W195" t="s">
        <v>684</v>
      </c>
      <c r="AH195" s="1324">
        <v>10</v>
      </c>
      <c r="AI195" s="1324"/>
      <c r="BC195" t="s">
        <v>1831</v>
      </c>
      <c r="BN195" s="23" t="s">
        <v>242</v>
      </c>
      <c r="BS195">
        <v>6</v>
      </c>
      <c r="BT195" t="s">
        <v>731</v>
      </c>
      <c r="CB195" s="350" t="s">
        <v>728</v>
      </c>
      <c r="CC195" s="464">
        <v>1960</v>
      </c>
      <c r="CD195" s="465">
        <v>2098</v>
      </c>
      <c r="CE195" s="464">
        <v>2516</v>
      </c>
      <c r="CF195" s="465">
        <v>2910</v>
      </c>
      <c r="CG195" s="465">
        <v>3244</v>
      </c>
      <c r="CH195" s="466">
        <v>3580</v>
      </c>
      <c r="CI195" s="34"/>
      <c r="CJ195" s="1036">
        <v>1776</v>
      </c>
      <c r="CK195" s="1036">
        <v>1852</v>
      </c>
      <c r="CL195" s="1036">
        <v>2306</v>
      </c>
      <c r="CM195" s="1036">
        <v>3079</v>
      </c>
      <c r="CN195" s="1036">
        <v>3745</v>
      </c>
      <c r="CR195" s="23" t="s">
        <v>689</v>
      </c>
      <c r="CS195" s="321">
        <v>381933</v>
      </c>
      <c r="CT195" s="321">
        <v>440365</v>
      </c>
      <c r="CU195" s="321">
        <v>531200</v>
      </c>
      <c r="CV195" s="321">
        <v>679936</v>
      </c>
      <c r="CW195" s="321">
        <v>757491</v>
      </c>
      <c r="CX195" s="14"/>
      <c r="CY195" s="23" t="s">
        <v>689</v>
      </c>
      <c r="CZ195" s="321">
        <v>381933</v>
      </c>
      <c r="DA195" s="321">
        <v>440365</v>
      </c>
      <c r="DB195" s="321">
        <v>531200</v>
      </c>
      <c r="DC195" s="321">
        <v>679936</v>
      </c>
      <c r="DD195" s="321">
        <v>757491</v>
      </c>
    </row>
    <row r="196" spans="1:108" ht="12.95" customHeight="1">
      <c r="C196" s="21"/>
      <c r="D196" t="s">
        <v>386</v>
      </c>
      <c r="T196" s="1333" t="s">
        <v>669</v>
      </c>
      <c r="U196" s="1333"/>
      <c r="W196" t="s">
        <v>685</v>
      </c>
      <c r="AH196" s="1324">
        <v>16</v>
      </c>
      <c r="AI196" s="1324"/>
      <c r="BN196" s="23" t="s">
        <v>243</v>
      </c>
      <c r="BS196">
        <v>4</v>
      </c>
      <c r="BT196" t="s">
        <v>69</v>
      </c>
      <c r="CB196" s="350" t="s">
        <v>729</v>
      </c>
      <c r="CC196" s="464">
        <v>2894</v>
      </c>
      <c r="CD196" s="465">
        <v>3100</v>
      </c>
      <c r="CE196" s="464">
        <v>3722</v>
      </c>
      <c r="CF196" s="465">
        <v>4300</v>
      </c>
      <c r="CG196" s="465">
        <v>4796</v>
      </c>
      <c r="CH196" s="466">
        <v>5292</v>
      </c>
      <c r="CI196" s="34"/>
      <c r="CJ196" s="1036">
        <v>2145</v>
      </c>
      <c r="CK196" s="1036">
        <v>2328</v>
      </c>
      <c r="CL196" s="1036">
        <v>2881</v>
      </c>
      <c r="CM196" s="1036">
        <v>3852</v>
      </c>
      <c r="CN196" s="1036">
        <v>4690</v>
      </c>
      <c r="CR196" s="23" t="s">
        <v>690</v>
      </c>
      <c r="CS196" s="323">
        <v>392286</v>
      </c>
      <c r="CT196" s="323">
        <v>452302</v>
      </c>
      <c r="CU196" s="323">
        <v>545600</v>
      </c>
      <c r="CV196" s="323">
        <v>698368</v>
      </c>
      <c r="CW196" s="323">
        <v>778026</v>
      </c>
      <c r="CX196" s="14"/>
      <c r="CY196" s="23" t="s">
        <v>690</v>
      </c>
      <c r="CZ196" s="323">
        <v>392286</v>
      </c>
      <c r="DA196" s="323">
        <v>452302</v>
      </c>
      <c r="DB196" s="323">
        <v>545600</v>
      </c>
      <c r="DC196" s="323">
        <v>698368</v>
      </c>
      <c r="DD196" s="323">
        <v>778026</v>
      </c>
    </row>
    <row r="197" spans="1:108" ht="12.95" customHeight="1">
      <c r="C197" s="21"/>
      <c r="D197" s="3" t="s">
        <v>169</v>
      </c>
      <c r="T197" s="1333" t="s">
        <v>669</v>
      </c>
      <c r="U197" s="1333"/>
      <c r="W197" t="s">
        <v>686</v>
      </c>
      <c r="AH197" s="1324">
        <v>9</v>
      </c>
      <c r="AI197" s="1324"/>
      <c r="BC197" t="s">
        <v>307</v>
      </c>
      <c r="BN197" s="23" t="s">
        <v>244</v>
      </c>
      <c r="BS197">
        <v>2</v>
      </c>
      <c r="BT197" t="s">
        <v>70</v>
      </c>
      <c r="CB197" s="350" t="s">
        <v>730</v>
      </c>
      <c r="CC197" s="464">
        <v>3384</v>
      </c>
      <c r="CD197" s="465">
        <v>3626</v>
      </c>
      <c r="CE197" s="464">
        <v>4352</v>
      </c>
      <c r="CF197" s="465">
        <v>5028</v>
      </c>
      <c r="CG197" s="465">
        <v>5610</v>
      </c>
      <c r="CH197" s="466">
        <v>6190</v>
      </c>
      <c r="CI197" s="34"/>
      <c r="CJ197" s="1036">
        <v>2275</v>
      </c>
      <c r="CK197" s="1036">
        <v>2780</v>
      </c>
      <c r="CL197" s="1036">
        <v>3318</v>
      </c>
      <c r="CM197" s="1036">
        <v>4138</v>
      </c>
      <c r="CN197" s="1036">
        <v>4399</v>
      </c>
      <c r="CR197" s="23" t="s">
        <v>691</v>
      </c>
      <c r="CS197" s="321">
        <v>694266</v>
      </c>
      <c r="CT197" s="321">
        <v>800482</v>
      </c>
      <c r="CU197" s="321">
        <v>965600</v>
      </c>
      <c r="CV197" s="321">
        <v>1235968</v>
      </c>
      <c r="CW197" s="321">
        <v>1376946</v>
      </c>
      <c r="CX197" s="14"/>
      <c r="CY197" s="23" t="s">
        <v>691</v>
      </c>
      <c r="CZ197" s="321">
        <v>694266</v>
      </c>
      <c r="DA197" s="321">
        <v>800482</v>
      </c>
      <c r="DB197" s="321">
        <v>965600</v>
      </c>
      <c r="DC197" s="321">
        <v>1235968</v>
      </c>
      <c r="DD197" s="321">
        <v>1376946</v>
      </c>
    </row>
    <row r="198" spans="1:108" s="14" customFormat="1" ht="12.95" customHeight="1">
      <c r="A198"/>
      <c r="B198"/>
      <c r="C198" s="21"/>
      <c r="D198" s="3" t="s">
        <v>1641</v>
      </c>
      <c r="E198"/>
      <c r="F198"/>
      <c r="G198"/>
      <c r="H198"/>
      <c r="I198"/>
      <c r="J198"/>
      <c r="K198"/>
      <c r="L198"/>
      <c r="M198"/>
      <c r="N198"/>
      <c r="O198"/>
      <c r="P198"/>
      <c r="Q198"/>
      <c r="R198"/>
      <c r="S198"/>
      <c r="T198" s="1333"/>
      <c r="U198" s="1333"/>
      <c r="V198"/>
      <c r="X198" s="1458" t="s">
        <v>2443</v>
      </c>
      <c r="Y198" s="1458"/>
      <c r="Z198" s="1458"/>
      <c r="AA198" s="1458"/>
      <c r="AB198" s="1458"/>
      <c r="AC198" s="1458"/>
      <c r="AD198" s="1458"/>
      <c r="AE198" s="1458"/>
      <c r="AF198" s="1458"/>
      <c r="AG198" s="1458"/>
      <c r="AH198" s="1458"/>
      <c r="AI198" s="1458"/>
      <c r="AJ198" s="1458"/>
      <c r="AK198" s="1458"/>
      <c r="AL198" s="1458"/>
      <c r="AM198" s="1458"/>
      <c r="AN198" s="1458"/>
      <c r="AO198" s="1458"/>
      <c r="AP198" s="1458"/>
      <c r="AQ198" s="1458"/>
      <c r="AR198" s="1458"/>
      <c r="AS198" s="1458"/>
      <c r="AT198" s="1458"/>
      <c r="AU198"/>
      <c r="AV198"/>
      <c r="AW198"/>
      <c r="AX198"/>
      <c r="AY198"/>
      <c r="AZ198" s="30"/>
      <c r="BA198" s="30"/>
      <c r="BC198" s="14" t="s">
        <v>591</v>
      </c>
      <c r="BD198"/>
      <c r="BN198" s="23" t="s">
        <v>697</v>
      </c>
      <c r="BO198"/>
      <c r="BP198"/>
      <c r="BQ198"/>
      <c r="BR198"/>
      <c r="BS198">
        <v>4</v>
      </c>
      <c r="BT198" t="s">
        <v>191</v>
      </c>
      <c r="BU198"/>
      <c r="BV198" s="31"/>
      <c r="CB198" s="350" t="s">
        <v>731</v>
      </c>
      <c r="CC198" s="464">
        <v>1832</v>
      </c>
      <c r="CD198" s="465">
        <v>1962</v>
      </c>
      <c r="CE198" s="464">
        <v>2354</v>
      </c>
      <c r="CF198" s="465">
        <v>2720</v>
      </c>
      <c r="CG198" s="465">
        <v>3034</v>
      </c>
      <c r="CH198" s="466">
        <v>3348</v>
      </c>
      <c r="CI198" s="3"/>
      <c r="CJ198" s="857">
        <v>1248</v>
      </c>
      <c r="CK198" s="857">
        <v>1363</v>
      </c>
      <c r="CL198" s="857">
        <v>1736</v>
      </c>
      <c r="CM198" s="857">
        <v>2433</v>
      </c>
      <c r="CN198" s="857">
        <v>2915</v>
      </c>
      <c r="CR198" s="23" t="s">
        <v>242</v>
      </c>
      <c r="CS198" s="323">
        <v>323262</v>
      </c>
      <c r="CT198" s="323">
        <v>372718</v>
      </c>
      <c r="CU198" s="323">
        <v>449600</v>
      </c>
      <c r="CV198" s="323">
        <v>575488</v>
      </c>
      <c r="CW198" s="323">
        <v>641130</v>
      </c>
      <c r="CY198" s="23" t="s">
        <v>242</v>
      </c>
      <c r="CZ198" s="323">
        <v>323262</v>
      </c>
      <c r="DA198" s="323">
        <v>372718</v>
      </c>
      <c r="DB198" s="323">
        <v>449600</v>
      </c>
      <c r="DC198" s="323">
        <v>575488</v>
      </c>
      <c r="DD198" s="323">
        <v>641130</v>
      </c>
    </row>
    <row r="199" spans="1:108" s="14" customFormat="1" ht="12.95" customHeight="1">
      <c r="A199"/>
      <c r="B199"/>
      <c r="C199" s="21"/>
      <c r="D199" s="118" t="s">
        <v>2446</v>
      </c>
      <c r="E199"/>
      <c r="F199"/>
      <c r="G199"/>
      <c r="H199"/>
      <c r="I199"/>
      <c r="J199"/>
      <c r="K199"/>
      <c r="L199"/>
      <c r="M199"/>
      <c r="N199"/>
      <c r="O199"/>
      <c r="P199"/>
      <c r="Q199"/>
      <c r="R199"/>
      <c r="S199"/>
      <c r="T199" s="1324" t="s">
        <v>669</v>
      </c>
      <c r="U199" s="1324"/>
      <c r="V199"/>
      <c r="W199"/>
      <c r="X199" s="1458"/>
      <c r="Y199" s="1458"/>
      <c r="Z199" s="1458"/>
      <c r="AA199" s="1458"/>
      <c r="AB199" s="1458"/>
      <c r="AC199" s="1458"/>
      <c r="AD199" s="1458"/>
      <c r="AE199" s="1458"/>
      <c r="AF199" s="1458"/>
      <c r="AG199" s="1458"/>
      <c r="AH199" s="1458"/>
      <c r="AI199" s="1458"/>
      <c r="AJ199" s="1458"/>
      <c r="AK199" s="1458"/>
      <c r="AL199" s="1458"/>
      <c r="AM199" s="1458"/>
      <c r="AN199" s="1458"/>
      <c r="AO199" s="1458"/>
      <c r="AP199" s="1458"/>
      <c r="AQ199" s="1458"/>
      <c r="AR199" s="1458"/>
      <c r="AS199" s="1458"/>
      <c r="AT199" s="1458"/>
      <c r="AU199"/>
      <c r="AV199"/>
      <c r="AW199"/>
      <c r="AX199"/>
      <c r="AY199"/>
      <c r="AZ199" s="30"/>
      <c r="BA199" s="30"/>
      <c r="BC199" t="s">
        <v>875</v>
      </c>
      <c r="BD199"/>
      <c r="BN199" s="23" t="s">
        <v>698</v>
      </c>
      <c r="BO199"/>
      <c r="BP199"/>
      <c r="BQ199"/>
      <c r="BR199"/>
      <c r="BS199">
        <v>2</v>
      </c>
      <c r="BT199" s="32" t="s">
        <v>192</v>
      </c>
      <c r="BU199"/>
      <c r="BV199" s="31"/>
      <c r="CB199" s="350" t="s">
        <v>69</v>
      </c>
      <c r="CC199" s="464">
        <v>2432</v>
      </c>
      <c r="CD199" s="465">
        <v>2606</v>
      </c>
      <c r="CE199" s="464">
        <v>3126</v>
      </c>
      <c r="CF199" s="465">
        <v>3612</v>
      </c>
      <c r="CG199" s="465">
        <v>4032</v>
      </c>
      <c r="CH199" s="466">
        <v>4448</v>
      </c>
      <c r="CI199" s="3"/>
      <c r="CJ199" s="857">
        <v>1669</v>
      </c>
      <c r="CK199" s="857">
        <v>1855</v>
      </c>
      <c r="CL199" s="857">
        <v>2434</v>
      </c>
      <c r="CM199" s="857">
        <v>3250</v>
      </c>
      <c r="CN199" s="857">
        <v>3683</v>
      </c>
      <c r="CR199" s="23" t="s">
        <v>243</v>
      </c>
      <c r="CS199" s="321">
        <v>442904</v>
      </c>
      <c r="CT199" s="321">
        <v>510664</v>
      </c>
      <c r="CU199" s="321">
        <v>616000</v>
      </c>
      <c r="CV199" s="321">
        <v>788480</v>
      </c>
      <c r="CW199" s="321">
        <v>878416</v>
      </c>
      <c r="CY199" s="23" t="s">
        <v>243</v>
      </c>
      <c r="CZ199" s="321">
        <v>442904</v>
      </c>
      <c r="DA199" s="321">
        <v>510664</v>
      </c>
      <c r="DB199" s="321">
        <v>616000</v>
      </c>
      <c r="DC199" s="321">
        <v>788480</v>
      </c>
      <c r="DD199" s="321">
        <v>878416</v>
      </c>
    </row>
    <row r="200" spans="1:108" s="14" customFormat="1" ht="12.95" customHeight="1">
      <c r="A200"/>
      <c r="B200"/>
      <c r="C200" s="21"/>
      <c r="D200" s="14" t="s">
        <v>2444</v>
      </c>
      <c r="T200" s="1324" t="s">
        <v>669</v>
      </c>
      <c r="U200" s="1324"/>
      <c r="V200"/>
      <c r="W200"/>
      <c r="X200"/>
      <c r="Y200"/>
      <c r="AA200"/>
      <c r="AB200" s="1184" t="s">
        <v>918</v>
      </c>
      <c r="AC200"/>
      <c r="AF200"/>
      <c r="AG200"/>
      <c r="AH200" s="1"/>
      <c r="AJ200"/>
      <c r="AK200"/>
      <c r="AL200"/>
      <c r="AM200"/>
      <c r="AN200"/>
      <c r="AO200"/>
      <c r="AP200"/>
      <c r="AQ200"/>
      <c r="AR200"/>
      <c r="AS200"/>
      <c r="AU200"/>
      <c r="AV200"/>
      <c r="AW200"/>
      <c r="AX200"/>
      <c r="AY200"/>
      <c r="AZ200" s="30"/>
      <c r="BA200" s="30"/>
      <c r="BC200" s="3" t="s">
        <v>874</v>
      </c>
      <c r="BD200" s="436"/>
      <c r="BN200" s="23" t="s">
        <v>699</v>
      </c>
      <c r="BO200"/>
      <c r="BP200"/>
      <c r="BQ200"/>
      <c r="BR200"/>
      <c r="BS200">
        <v>2</v>
      </c>
      <c r="BT200" s="32" t="s">
        <v>193</v>
      </c>
      <c r="BU200"/>
      <c r="CB200" s="350" t="s">
        <v>70</v>
      </c>
      <c r="CC200" s="464">
        <v>3384</v>
      </c>
      <c r="CD200" s="465">
        <v>3626</v>
      </c>
      <c r="CE200" s="464">
        <v>4352</v>
      </c>
      <c r="CF200" s="465">
        <v>5028</v>
      </c>
      <c r="CG200" s="465">
        <v>5610</v>
      </c>
      <c r="CH200" s="466">
        <v>6190</v>
      </c>
      <c r="CI200" s="3"/>
      <c r="CJ200" s="857">
        <v>2275</v>
      </c>
      <c r="CK200" s="857">
        <v>2780</v>
      </c>
      <c r="CL200" s="857">
        <v>3318</v>
      </c>
      <c r="CM200" s="857">
        <v>4138</v>
      </c>
      <c r="CN200" s="857">
        <v>4399</v>
      </c>
      <c r="CR200" s="23" t="s">
        <v>244</v>
      </c>
      <c r="CS200" s="322">
        <v>532060</v>
      </c>
      <c r="CT200" s="322">
        <v>613460</v>
      </c>
      <c r="CU200" s="323">
        <v>740000</v>
      </c>
      <c r="CV200" s="322">
        <v>947200</v>
      </c>
      <c r="CW200" s="322">
        <v>1055240</v>
      </c>
      <c r="CY200" s="23" t="s">
        <v>244</v>
      </c>
      <c r="CZ200" s="322">
        <v>532060</v>
      </c>
      <c r="DA200" s="322">
        <v>613460</v>
      </c>
      <c r="DB200" s="322">
        <v>740000</v>
      </c>
      <c r="DC200" s="322">
        <v>947200</v>
      </c>
      <c r="DD200" s="322">
        <v>1055240</v>
      </c>
    </row>
    <row r="201" spans="1:108" s="14" customFormat="1" ht="12.95" customHeight="1">
      <c r="A201"/>
      <c r="B201"/>
      <c r="C201" s="21"/>
      <c r="E201" s="3" t="s">
        <v>2445</v>
      </c>
      <c r="V201"/>
      <c r="X201"/>
      <c r="Y201"/>
      <c r="Z201"/>
      <c r="AB201" s="1184" t="s">
        <v>919</v>
      </c>
      <c r="AC201"/>
      <c r="AH201" s="1"/>
      <c r="AJ201"/>
      <c r="AK201"/>
      <c r="AL201"/>
      <c r="AM201"/>
      <c r="AN201"/>
      <c r="AO201"/>
      <c r="AP201"/>
      <c r="AQ201"/>
      <c r="AR201"/>
      <c r="AS201"/>
      <c r="AU201"/>
      <c r="AV201"/>
      <c r="AW201"/>
      <c r="AX201"/>
      <c r="AY201"/>
      <c r="AZ201" s="30"/>
      <c r="BA201" s="30"/>
      <c r="BC201" s="3" t="s">
        <v>1061</v>
      </c>
      <c r="BD201" s="436"/>
      <c r="BN201" s="23" t="s">
        <v>700</v>
      </c>
      <c r="BO201" s="31"/>
      <c r="BP201" s="32"/>
      <c r="BQ201" s="32"/>
      <c r="BR201" s="32"/>
      <c r="BS201">
        <v>6</v>
      </c>
      <c r="BT201" s="32" t="s">
        <v>194</v>
      </c>
      <c r="BU201"/>
      <c r="CB201" s="350" t="s">
        <v>191</v>
      </c>
      <c r="CC201" s="464">
        <v>3090</v>
      </c>
      <c r="CD201" s="465">
        <v>3310</v>
      </c>
      <c r="CE201" s="464">
        <v>3972</v>
      </c>
      <c r="CF201" s="465">
        <v>4590</v>
      </c>
      <c r="CG201" s="465">
        <v>5120</v>
      </c>
      <c r="CH201" s="466">
        <v>5648</v>
      </c>
      <c r="CI201" s="3"/>
      <c r="CJ201" s="857">
        <v>2381</v>
      </c>
      <c r="CK201" s="857">
        <v>2688</v>
      </c>
      <c r="CL201" s="857">
        <v>3028</v>
      </c>
      <c r="CM201" s="857">
        <v>4011</v>
      </c>
      <c r="CN201" s="857">
        <v>4468</v>
      </c>
      <c r="CR201" s="23" t="s">
        <v>697</v>
      </c>
      <c r="CS201" s="321">
        <v>442904</v>
      </c>
      <c r="CT201" s="321">
        <v>510664</v>
      </c>
      <c r="CU201" s="321">
        <v>616000</v>
      </c>
      <c r="CV201" s="321">
        <v>788480</v>
      </c>
      <c r="CW201" s="321">
        <v>878416</v>
      </c>
      <c r="CY201" s="23" t="s">
        <v>697</v>
      </c>
      <c r="CZ201" s="321">
        <v>442904</v>
      </c>
      <c r="DA201" s="321">
        <v>510664</v>
      </c>
      <c r="DB201" s="321">
        <v>616000</v>
      </c>
      <c r="DC201" s="321">
        <v>788480</v>
      </c>
      <c r="DD201" s="321">
        <v>878416</v>
      </c>
    </row>
    <row r="202" spans="1:108" ht="12.95" customHeight="1">
      <c r="C202" s="21"/>
      <c r="AE202" s="8"/>
      <c r="BC202" t="s">
        <v>611</v>
      </c>
      <c r="BD202" s="436"/>
      <c r="BN202" s="23" t="s">
        <v>701</v>
      </c>
      <c r="BO202" s="14"/>
      <c r="BP202" s="32"/>
      <c r="BQ202" s="32"/>
      <c r="BR202" s="32"/>
      <c r="BS202">
        <v>7</v>
      </c>
      <c r="BT202" s="32" t="s">
        <v>195</v>
      </c>
      <c r="CB202" s="350" t="s">
        <v>192</v>
      </c>
      <c r="CC202" s="464">
        <v>3516</v>
      </c>
      <c r="CD202" s="465">
        <v>3768</v>
      </c>
      <c r="CE202" s="464">
        <v>4522</v>
      </c>
      <c r="CF202" s="465">
        <v>5222</v>
      </c>
      <c r="CG202" s="465">
        <v>5826</v>
      </c>
      <c r="CH202" s="466">
        <v>6430</v>
      </c>
      <c r="CI202" s="3"/>
      <c r="CJ202" s="857">
        <v>2608</v>
      </c>
      <c r="CK202" s="857">
        <v>2975</v>
      </c>
      <c r="CL202" s="857">
        <v>3446</v>
      </c>
      <c r="CM202" s="857">
        <v>4477</v>
      </c>
      <c r="CN202" s="857">
        <v>4878</v>
      </c>
      <c r="CR202" s="23" t="s">
        <v>698</v>
      </c>
      <c r="CS202" s="322">
        <v>532060</v>
      </c>
      <c r="CT202" s="322">
        <v>613460</v>
      </c>
      <c r="CU202" s="322">
        <v>740000</v>
      </c>
      <c r="CV202" s="322">
        <v>947200</v>
      </c>
      <c r="CW202" s="322">
        <v>1055240</v>
      </c>
      <c r="CX202" s="14"/>
      <c r="CY202" s="23" t="s">
        <v>698</v>
      </c>
      <c r="CZ202" s="322">
        <v>532060</v>
      </c>
      <c r="DA202" s="322">
        <v>613460</v>
      </c>
      <c r="DB202" s="322">
        <v>740000</v>
      </c>
      <c r="DC202" s="322">
        <v>947200</v>
      </c>
      <c r="DD202" s="322">
        <v>1055240</v>
      </c>
    </row>
    <row r="203" spans="1:108" ht="12.95" customHeight="1">
      <c r="A203" s="2" t="s">
        <v>586</v>
      </c>
      <c r="C203" s="2" t="s">
        <v>136</v>
      </c>
      <c r="BC203" t="s">
        <v>1062</v>
      </c>
      <c r="BN203" s="23" t="s">
        <v>702</v>
      </c>
      <c r="BO203" s="14"/>
      <c r="BP203" s="32"/>
      <c r="BQ203" s="32"/>
      <c r="BR203" s="32"/>
      <c r="BS203">
        <v>7</v>
      </c>
      <c r="BT203" s="32" t="s">
        <v>196</v>
      </c>
      <c r="CB203" s="350" t="s">
        <v>193</v>
      </c>
      <c r="CC203" s="464">
        <v>3462</v>
      </c>
      <c r="CD203" s="465">
        <v>3708</v>
      </c>
      <c r="CE203" s="464">
        <v>4450</v>
      </c>
      <c r="CF203" s="465">
        <v>5142</v>
      </c>
      <c r="CG203" s="465">
        <v>5734</v>
      </c>
      <c r="CH203" s="466">
        <v>6330</v>
      </c>
      <c r="CI203" s="3"/>
      <c r="CJ203" s="857">
        <v>3056</v>
      </c>
      <c r="CK203" s="857">
        <v>3221</v>
      </c>
      <c r="CL203" s="857">
        <v>4223</v>
      </c>
      <c r="CM203" s="857">
        <v>5256</v>
      </c>
      <c r="CN203" s="857">
        <v>5605</v>
      </c>
      <c r="CR203" s="23" t="s">
        <v>699</v>
      </c>
      <c r="CS203" s="321">
        <v>442904</v>
      </c>
      <c r="CT203" s="321">
        <v>510664</v>
      </c>
      <c r="CU203" s="321">
        <v>616000</v>
      </c>
      <c r="CV203" s="321">
        <v>788480</v>
      </c>
      <c r="CW203" s="321">
        <v>878416</v>
      </c>
      <c r="CX203" s="14"/>
      <c r="CY203" s="23" t="s">
        <v>699</v>
      </c>
      <c r="CZ203" s="321">
        <v>442904</v>
      </c>
      <c r="DA203" s="321">
        <v>510664</v>
      </c>
      <c r="DB203" s="321">
        <v>616000</v>
      </c>
      <c r="DC203" s="321">
        <v>788480</v>
      </c>
      <c r="DD203" s="321">
        <v>878416</v>
      </c>
    </row>
    <row r="204" spans="1:108" ht="12.95" customHeight="1">
      <c r="D204" s="1314" t="s">
        <v>385</v>
      </c>
      <c r="E204" s="1314"/>
      <c r="F204" s="1314"/>
      <c r="G204" s="1314"/>
      <c r="H204" s="1314"/>
      <c r="I204" s="1314"/>
      <c r="J204" s="1314"/>
      <c r="K204" s="1314"/>
      <c r="L204" s="1314"/>
      <c r="M204" s="1314"/>
      <c r="P204" s="1477">
        <f>M26</f>
        <v>1608226</v>
      </c>
      <c r="Q204" s="1478"/>
      <c r="R204" s="1478"/>
      <c r="S204" s="1478"/>
      <c r="T204" s="1478"/>
      <c r="U204" s="1478"/>
      <c r="BC204" t="s">
        <v>1063</v>
      </c>
      <c r="BN204" s="23" t="s">
        <v>703</v>
      </c>
      <c r="BS204">
        <v>6</v>
      </c>
      <c r="BT204" s="32" t="s">
        <v>197</v>
      </c>
      <c r="BU204" s="14"/>
      <c r="CB204" s="350" t="s">
        <v>194</v>
      </c>
      <c r="CC204" s="464">
        <v>1702</v>
      </c>
      <c r="CD204" s="465">
        <v>1822</v>
      </c>
      <c r="CE204" s="464">
        <v>2190</v>
      </c>
      <c r="CF204" s="465">
        <v>2530</v>
      </c>
      <c r="CG204" s="465">
        <v>2822</v>
      </c>
      <c r="CH204" s="466">
        <v>3114</v>
      </c>
      <c r="CI204" s="3"/>
      <c r="CJ204" s="857">
        <v>1151</v>
      </c>
      <c r="CK204" s="857">
        <v>1229</v>
      </c>
      <c r="CL204" s="857">
        <v>1613</v>
      </c>
      <c r="CM204" s="857">
        <v>2260</v>
      </c>
      <c r="CN204" s="857">
        <v>2709</v>
      </c>
      <c r="CR204" s="23" t="s">
        <v>700</v>
      </c>
      <c r="CS204" s="323">
        <v>369278</v>
      </c>
      <c r="CT204" s="323">
        <v>425774</v>
      </c>
      <c r="CU204" s="323">
        <v>513600</v>
      </c>
      <c r="CV204" s="323">
        <v>657408</v>
      </c>
      <c r="CW204" s="323">
        <v>732394</v>
      </c>
      <c r="CX204" s="14"/>
      <c r="CY204" s="23" t="s">
        <v>700</v>
      </c>
      <c r="CZ204" s="323">
        <v>369278</v>
      </c>
      <c r="DA204" s="323">
        <v>425774</v>
      </c>
      <c r="DB204" s="323">
        <v>513600</v>
      </c>
      <c r="DC204" s="323">
        <v>657408</v>
      </c>
      <c r="DD204" s="323">
        <v>732394</v>
      </c>
    </row>
    <row r="205" spans="1:108" ht="12.95" customHeight="1">
      <c r="C205" s="21"/>
      <c r="D205" s="1460" t="s">
        <v>1247</v>
      </c>
      <c r="E205" s="1314"/>
      <c r="F205" s="1314"/>
      <c r="G205" s="1314"/>
      <c r="H205" s="1314"/>
      <c r="I205" s="1314"/>
      <c r="J205" s="1314"/>
      <c r="K205" s="1314"/>
      <c r="L205" s="1314"/>
      <c r="M205" s="1314"/>
      <c r="P205" s="1478">
        <f>M27</f>
        <v>9278223</v>
      </c>
      <c r="Q205" s="1478"/>
      <c r="R205" s="1478"/>
      <c r="S205" s="1478"/>
      <c r="T205" s="1478"/>
      <c r="U205" s="1478"/>
      <c r="V205" s="28"/>
      <c r="W205" s="3" t="s">
        <v>1709</v>
      </c>
      <c r="Z205" s="1456" t="s">
        <v>2173</v>
      </c>
      <c r="AA205" s="1456"/>
      <c r="AB205" s="1456"/>
      <c r="AC205" s="1456"/>
      <c r="AD205" s="1456"/>
      <c r="AE205" s="1456"/>
      <c r="AF205" s="1456"/>
      <c r="AG205" s="1456"/>
      <c r="AH205" s="1456"/>
      <c r="AI205" s="1456"/>
      <c r="AJ205" s="1456"/>
      <c r="AK205" s="1456"/>
      <c r="AL205" s="1456"/>
      <c r="AM205" s="1456"/>
      <c r="AN205" s="1456"/>
      <c r="AP205" s="1356"/>
      <c r="AQ205" s="1356"/>
      <c r="BC205" t="s">
        <v>610</v>
      </c>
      <c r="BN205" s="23" t="s">
        <v>109</v>
      </c>
      <c r="BS205">
        <v>4</v>
      </c>
      <c r="BT205" s="32" t="s">
        <v>174</v>
      </c>
      <c r="BU205" s="14"/>
      <c r="CB205" s="350" t="s">
        <v>195</v>
      </c>
      <c r="CC205" s="464">
        <v>1644</v>
      </c>
      <c r="CD205" s="465">
        <v>1762</v>
      </c>
      <c r="CE205" s="464">
        <v>2114</v>
      </c>
      <c r="CF205" s="465">
        <v>2442</v>
      </c>
      <c r="CG205" s="465">
        <v>2724</v>
      </c>
      <c r="CH205" s="466">
        <v>3006</v>
      </c>
      <c r="CI205" s="3"/>
      <c r="CJ205" s="857">
        <v>1003</v>
      </c>
      <c r="CK205" s="857">
        <v>1101</v>
      </c>
      <c r="CL205" s="857">
        <v>1445</v>
      </c>
      <c r="CM205" s="857">
        <v>2025</v>
      </c>
      <c r="CN205" s="857">
        <v>2396</v>
      </c>
      <c r="CR205" s="23" t="s">
        <v>701</v>
      </c>
      <c r="CS205" s="321">
        <v>402640</v>
      </c>
      <c r="CT205" s="321">
        <v>464240</v>
      </c>
      <c r="CU205" s="321">
        <v>560000</v>
      </c>
      <c r="CV205" s="321">
        <v>716800</v>
      </c>
      <c r="CW205" s="321">
        <v>798560</v>
      </c>
      <c r="CX205" s="14"/>
      <c r="CY205" s="23" t="s">
        <v>701</v>
      </c>
      <c r="CZ205" s="321">
        <v>402640</v>
      </c>
      <c r="DA205" s="321">
        <v>464240</v>
      </c>
      <c r="DB205" s="321">
        <v>560000</v>
      </c>
      <c r="DC205" s="321">
        <v>716800</v>
      </c>
      <c r="DD205" s="321">
        <v>798560</v>
      </c>
    </row>
    <row r="206" spans="1:108" ht="12.95" customHeight="1">
      <c r="D206" s="29"/>
      <c r="E206" s="29"/>
      <c r="F206" s="29"/>
      <c r="G206" s="29"/>
      <c r="H206" s="29"/>
      <c r="I206" s="29"/>
      <c r="J206" s="29"/>
      <c r="K206" s="29"/>
      <c r="L206" s="29"/>
      <c r="M206" s="29"/>
      <c r="N206" s="29"/>
      <c r="O206" s="29"/>
      <c r="P206" s="29"/>
      <c r="BC206" t="s">
        <v>1026</v>
      </c>
      <c r="BN206" s="23" t="s">
        <v>110</v>
      </c>
      <c r="BS206">
        <v>5</v>
      </c>
      <c r="BT206" s="32" t="s">
        <v>198</v>
      </c>
      <c r="BU206" s="14"/>
      <c r="CB206" s="350" t="s">
        <v>196</v>
      </c>
      <c r="CC206" s="464">
        <v>1644</v>
      </c>
      <c r="CD206" s="465">
        <v>1762</v>
      </c>
      <c r="CE206" s="464">
        <v>2114</v>
      </c>
      <c r="CF206" s="465">
        <v>2442</v>
      </c>
      <c r="CG206" s="465">
        <v>2724</v>
      </c>
      <c r="CH206" s="466">
        <v>3006</v>
      </c>
      <c r="CI206" s="3"/>
      <c r="CJ206" s="857">
        <v>924</v>
      </c>
      <c r="CK206" s="857">
        <v>930</v>
      </c>
      <c r="CL206" s="857">
        <v>1201</v>
      </c>
      <c r="CM206" s="857">
        <v>1683</v>
      </c>
      <c r="CN206" s="857">
        <v>1834</v>
      </c>
      <c r="CR206" s="23" t="s">
        <v>702</v>
      </c>
      <c r="CS206" s="323">
        <v>402640</v>
      </c>
      <c r="CT206" s="323">
        <v>464240</v>
      </c>
      <c r="CU206" s="323">
        <v>560000</v>
      </c>
      <c r="CV206" s="323">
        <v>716800</v>
      </c>
      <c r="CW206" s="323">
        <v>798560</v>
      </c>
      <c r="CX206" s="14"/>
      <c r="CY206" s="23" t="s">
        <v>702</v>
      </c>
      <c r="CZ206" s="323">
        <v>402640</v>
      </c>
      <c r="DA206" s="323">
        <v>464240</v>
      </c>
      <c r="DB206" s="323">
        <v>560000</v>
      </c>
      <c r="DC206" s="323">
        <v>716800</v>
      </c>
      <c r="DD206" s="323">
        <v>798560</v>
      </c>
    </row>
    <row r="207" spans="1:108" ht="12.95" customHeight="1">
      <c r="A207" s="2" t="s">
        <v>589</v>
      </c>
      <c r="C207" s="2" t="s">
        <v>551</v>
      </c>
      <c r="BC207" s="437" t="s">
        <v>1064</v>
      </c>
      <c r="BN207" s="23" t="s">
        <v>45</v>
      </c>
      <c r="BS207">
        <v>6</v>
      </c>
      <c r="BT207" s="32" t="s">
        <v>199</v>
      </c>
      <c r="CB207" s="350" t="s">
        <v>197</v>
      </c>
      <c r="CC207" s="464">
        <v>2404</v>
      </c>
      <c r="CD207" s="465">
        <v>2576</v>
      </c>
      <c r="CE207" s="464">
        <v>3092</v>
      </c>
      <c r="CF207" s="465">
        <v>3572</v>
      </c>
      <c r="CG207" s="465">
        <v>3984</v>
      </c>
      <c r="CH207" s="466">
        <v>4396</v>
      </c>
      <c r="CI207" s="3"/>
      <c r="CJ207" s="857">
        <v>1724</v>
      </c>
      <c r="CK207" s="857">
        <v>1894</v>
      </c>
      <c r="CL207" s="857">
        <v>2420</v>
      </c>
      <c r="CM207" s="857">
        <v>3234</v>
      </c>
      <c r="CN207" s="857">
        <v>3663</v>
      </c>
      <c r="CR207" s="23" t="s">
        <v>703</v>
      </c>
      <c r="CS207" s="321">
        <v>406666</v>
      </c>
      <c r="CT207" s="321">
        <v>468882</v>
      </c>
      <c r="CU207" s="321">
        <v>565600</v>
      </c>
      <c r="CV207" s="321">
        <v>723968</v>
      </c>
      <c r="CW207" s="321">
        <v>806546</v>
      </c>
      <c r="CX207" s="14"/>
      <c r="CY207" s="23" t="s">
        <v>703</v>
      </c>
      <c r="CZ207" s="321">
        <v>406666</v>
      </c>
      <c r="DA207" s="321">
        <v>468882</v>
      </c>
      <c r="DB207" s="321">
        <v>565600</v>
      </c>
      <c r="DC207" s="321">
        <v>723968</v>
      </c>
      <c r="DD207" s="321">
        <v>806546</v>
      </c>
    </row>
    <row r="208" spans="1:108" ht="12.95" customHeight="1">
      <c r="C208" s="21"/>
      <c r="D208" s="1440" t="s">
        <v>2662</v>
      </c>
      <c r="E208" s="1440"/>
      <c r="F208" s="1440"/>
      <c r="G208" s="1440"/>
      <c r="H208" s="1440"/>
      <c r="I208" s="1440"/>
      <c r="J208" s="1440"/>
      <c r="K208" s="1440"/>
      <c r="L208" s="1440"/>
      <c r="M208" s="1440"/>
      <c r="BC208" s="3" t="s">
        <v>2160</v>
      </c>
      <c r="BN208" s="23" t="s">
        <v>46</v>
      </c>
      <c r="BS208">
        <v>7</v>
      </c>
      <c r="BT208" s="32" t="s">
        <v>200</v>
      </c>
      <c r="CB208" s="350" t="s">
        <v>174</v>
      </c>
      <c r="CC208" s="464">
        <v>2642</v>
      </c>
      <c r="CD208" s="465">
        <v>2830</v>
      </c>
      <c r="CE208" s="464">
        <v>3396</v>
      </c>
      <c r="CF208" s="465">
        <v>3926</v>
      </c>
      <c r="CG208" s="465">
        <v>4380</v>
      </c>
      <c r="CH208" s="466">
        <v>4832</v>
      </c>
      <c r="CI208" s="3"/>
      <c r="CJ208" s="857">
        <v>1879</v>
      </c>
      <c r="CK208" s="857">
        <v>2089</v>
      </c>
      <c r="CL208" s="857">
        <v>2740</v>
      </c>
      <c r="CM208" s="857">
        <v>3743</v>
      </c>
      <c r="CN208" s="857">
        <v>3960</v>
      </c>
      <c r="CR208" s="23" t="s">
        <v>109</v>
      </c>
      <c r="CS208" s="323">
        <v>406666</v>
      </c>
      <c r="CT208" s="323">
        <v>468882</v>
      </c>
      <c r="CU208" s="323">
        <v>565600</v>
      </c>
      <c r="CV208" s="323">
        <v>723968</v>
      </c>
      <c r="CW208" s="323">
        <v>806546</v>
      </c>
      <c r="CX208" s="14"/>
      <c r="CY208" s="23" t="s">
        <v>109</v>
      </c>
      <c r="CZ208" s="323">
        <v>406666</v>
      </c>
      <c r="DA208" s="323">
        <v>468882</v>
      </c>
      <c r="DB208" s="323">
        <v>565600</v>
      </c>
      <c r="DC208" s="323">
        <v>723968</v>
      </c>
      <c r="DD208" s="323">
        <v>806546</v>
      </c>
    </row>
    <row r="209" spans="1:108" ht="12.95" customHeight="1">
      <c r="BC209" t="s">
        <v>1065</v>
      </c>
      <c r="BN209" s="23" t="s">
        <v>47</v>
      </c>
      <c r="BS209">
        <v>7</v>
      </c>
      <c r="BT209" s="32" t="s">
        <v>201</v>
      </c>
      <c r="CB209" s="350" t="s">
        <v>198</v>
      </c>
      <c r="CC209" s="464">
        <v>1724</v>
      </c>
      <c r="CD209" s="465">
        <v>1846</v>
      </c>
      <c r="CE209" s="464">
        <v>2216</v>
      </c>
      <c r="CF209" s="465">
        <v>2560</v>
      </c>
      <c r="CG209" s="465">
        <v>2856</v>
      </c>
      <c r="CH209" s="466">
        <v>3152</v>
      </c>
      <c r="CI209" s="3"/>
      <c r="CJ209" s="857">
        <v>1130</v>
      </c>
      <c r="CK209" s="857">
        <v>1209</v>
      </c>
      <c r="CL209" s="857">
        <v>1566</v>
      </c>
      <c r="CM209" s="857">
        <v>2194</v>
      </c>
      <c r="CN209" s="857">
        <v>2549</v>
      </c>
      <c r="CR209" s="23" t="s">
        <v>110</v>
      </c>
      <c r="CS209" s="321">
        <v>323262</v>
      </c>
      <c r="CT209" s="321">
        <v>372718</v>
      </c>
      <c r="CU209" s="321">
        <v>449600</v>
      </c>
      <c r="CV209" s="321">
        <v>575488</v>
      </c>
      <c r="CW209" s="321">
        <v>641130</v>
      </c>
      <c r="CX209" s="14"/>
      <c r="CY209" s="23" t="s">
        <v>110</v>
      </c>
      <c r="CZ209" s="321">
        <v>323262</v>
      </c>
      <c r="DA209" s="321">
        <v>372718</v>
      </c>
      <c r="DB209" s="321">
        <v>449600</v>
      </c>
      <c r="DC209" s="321">
        <v>575488</v>
      </c>
      <c r="DD209" s="321">
        <v>641130</v>
      </c>
    </row>
    <row r="210" spans="1:108" ht="12.95" customHeight="1">
      <c r="A210" s="2" t="s">
        <v>590</v>
      </c>
      <c r="C210" s="2" t="s">
        <v>388</v>
      </c>
      <c r="BC210" t="s">
        <v>659</v>
      </c>
      <c r="BN210" s="23" t="s">
        <v>48</v>
      </c>
      <c r="BS210">
        <v>5</v>
      </c>
      <c r="BT210" s="32" t="s">
        <v>202</v>
      </c>
      <c r="CB210" s="350" t="s">
        <v>199</v>
      </c>
      <c r="CC210" s="464">
        <v>1680</v>
      </c>
      <c r="CD210" s="465">
        <v>1800</v>
      </c>
      <c r="CE210" s="464">
        <v>2160</v>
      </c>
      <c r="CF210" s="465">
        <v>2496</v>
      </c>
      <c r="CG210" s="465">
        <v>2784</v>
      </c>
      <c r="CH210" s="466">
        <v>3072</v>
      </c>
      <c r="CI210" s="3"/>
      <c r="CJ210" s="857">
        <v>1195</v>
      </c>
      <c r="CK210" s="857">
        <v>1197</v>
      </c>
      <c r="CL210" s="857">
        <v>1522</v>
      </c>
      <c r="CM210" s="857">
        <v>2133</v>
      </c>
      <c r="CN210" s="857">
        <v>2556</v>
      </c>
      <c r="CR210" s="23" t="s">
        <v>45</v>
      </c>
      <c r="CS210" s="323">
        <v>360075</v>
      </c>
      <c r="CT210" s="323">
        <v>415163</v>
      </c>
      <c r="CU210" s="323">
        <v>500800</v>
      </c>
      <c r="CV210" s="323">
        <v>641024</v>
      </c>
      <c r="CW210" s="323">
        <v>714141</v>
      </c>
      <c r="CX210" s="14"/>
      <c r="CY210" s="23" t="s">
        <v>45</v>
      </c>
      <c r="CZ210" s="323">
        <v>360075</v>
      </c>
      <c r="DA210" s="323">
        <v>415163</v>
      </c>
      <c r="DB210" s="323">
        <v>500800</v>
      </c>
      <c r="DC210" s="323">
        <v>641024</v>
      </c>
      <c r="DD210" s="323">
        <v>714141</v>
      </c>
    </row>
    <row r="211" spans="1:108" ht="12.95" customHeight="1">
      <c r="C211" s="21"/>
      <c r="D211" s="1440" t="s">
        <v>1040</v>
      </c>
      <c r="E211" s="1440"/>
      <c r="F211" s="1440"/>
      <c r="G211" s="1440"/>
      <c r="H211" s="1440"/>
      <c r="I211" s="1440"/>
      <c r="J211" s="1440"/>
      <c r="K211" s="1440"/>
      <c r="L211" s="1440"/>
      <c r="M211" s="1440"/>
      <c r="BN211" s="23" t="s">
        <v>129</v>
      </c>
      <c r="BS211">
        <v>7</v>
      </c>
      <c r="BT211" s="32" t="s">
        <v>130</v>
      </c>
      <c r="CB211" s="350" t="s">
        <v>200</v>
      </c>
      <c r="CC211" s="464">
        <v>1644</v>
      </c>
      <c r="CD211" s="465">
        <v>1762</v>
      </c>
      <c r="CE211" s="464">
        <v>2114</v>
      </c>
      <c r="CF211" s="465">
        <v>2442</v>
      </c>
      <c r="CG211" s="465">
        <v>2724</v>
      </c>
      <c r="CH211" s="466">
        <v>3006</v>
      </c>
      <c r="CI211" s="3"/>
      <c r="CJ211" s="857">
        <v>926</v>
      </c>
      <c r="CK211" s="857">
        <v>1030</v>
      </c>
      <c r="CL211" s="857">
        <v>1351</v>
      </c>
      <c r="CM211" s="857">
        <v>1778</v>
      </c>
      <c r="CN211" s="857">
        <v>2229</v>
      </c>
      <c r="CR211" s="23" t="s">
        <v>46</v>
      </c>
      <c r="CS211" s="321">
        <v>402640</v>
      </c>
      <c r="CT211" s="321">
        <v>464240</v>
      </c>
      <c r="CU211" s="321">
        <v>560000</v>
      </c>
      <c r="CV211" s="321">
        <v>716800</v>
      </c>
      <c r="CW211" s="321">
        <v>798560</v>
      </c>
      <c r="CX211" s="14"/>
      <c r="CY211" s="23" t="s">
        <v>46</v>
      </c>
      <c r="CZ211" s="321">
        <v>402640</v>
      </c>
      <c r="DA211" s="321">
        <v>464240</v>
      </c>
      <c r="DB211" s="321">
        <v>560000</v>
      </c>
      <c r="DC211" s="321">
        <v>716800</v>
      </c>
      <c r="DD211" s="321">
        <v>798560</v>
      </c>
    </row>
    <row r="212" spans="1:108" ht="12.95" customHeight="1">
      <c r="C212" s="21"/>
      <c r="D212" s="3" t="s">
        <v>2184</v>
      </c>
      <c r="Q212" s="1324"/>
      <c r="R212" s="1324"/>
      <c r="T212" s="1470">
        <f>IFERROR(Q212/AG449,0)</f>
        <v>0</v>
      </c>
      <c r="U212" s="1471"/>
      <c r="BC212" t="s">
        <v>307</v>
      </c>
      <c r="BI212" t="s">
        <v>1184</v>
      </c>
      <c r="BN212" s="23" t="s">
        <v>49</v>
      </c>
      <c r="BS212">
        <v>4</v>
      </c>
      <c r="BT212" s="32" t="s">
        <v>203</v>
      </c>
      <c r="CB212" s="350" t="s">
        <v>201</v>
      </c>
      <c r="CC212" s="464">
        <v>1644</v>
      </c>
      <c r="CD212" s="465">
        <v>1762</v>
      </c>
      <c r="CE212" s="464">
        <v>2114</v>
      </c>
      <c r="CF212" s="465">
        <v>2442</v>
      </c>
      <c r="CG212" s="465">
        <v>2724</v>
      </c>
      <c r="CH212" s="466">
        <v>3006</v>
      </c>
      <c r="CI212" s="3"/>
      <c r="CJ212" s="857">
        <v>777</v>
      </c>
      <c r="CK212" s="857">
        <v>854</v>
      </c>
      <c r="CL212" s="857">
        <v>1120</v>
      </c>
      <c r="CM212" s="857">
        <v>1569</v>
      </c>
      <c r="CN212" s="857">
        <v>1708</v>
      </c>
      <c r="CR212" s="23" t="s">
        <v>47</v>
      </c>
      <c r="CS212" s="323">
        <v>402640</v>
      </c>
      <c r="CT212" s="323">
        <v>464240</v>
      </c>
      <c r="CU212" s="323">
        <v>560000</v>
      </c>
      <c r="CV212" s="323">
        <v>716800</v>
      </c>
      <c r="CW212" s="323">
        <v>798560</v>
      </c>
      <c r="CX212" s="14"/>
      <c r="CY212" s="23" t="s">
        <v>47</v>
      </c>
      <c r="CZ212" s="323">
        <v>402640</v>
      </c>
      <c r="DA212" s="323">
        <v>464240</v>
      </c>
      <c r="DB212" s="323">
        <v>560000</v>
      </c>
      <c r="DC212" s="323">
        <v>716800</v>
      </c>
      <c r="DD212" s="323">
        <v>798560</v>
      </c>
    </row>
    <row r="213" spans="1:108" ht="12.95" customHeight="1">
      <c r="D213" s="1139" t="s">
        <v>2403</v>
      </c>
      <c r="BC213" t="s">
        <v>526</v>
      </c>
      <c r="BI213" s="3" t="s">
        <v>2181</v>
      </c>
      <c r="BN213" s="23" t="s">
        <v>50</v>
      </c>
      <c r="BS213">
        <v>6</v>
      </c>
      <c r="BT213" s="32" t="s">
        <v>204</v>
      </c>
      <c r="CB213" s="350" t="s">
        <v>202</v>
      </c>
      <c r="CC213" s="464">
        <v>1644</v>
      </c>
      <c r="CD213" s="465">
        <v>1762</v>
      </c>
      <c r="CE213" s="464">
        <v>2114</v>
      </c>
      <c r="CF213" s="465">
        <v>2442</v>
      </c>
      <c r="CG213" s="465">
        <v>2724</v>
      </c>
      <c r="CH213" s="466">
        <v>3006</v>
      </c>
      <c r="CI213" s="3"/>
      <c r="CJ213" s="857">
        <v>1082</v>
      </c>
      <c r="CK213" s="857">
        <v>1089</v>
      </c>
      <c r="CL213" s="857">
        <v>1429</v>
      </c>
      <c r="CM213" s="857">
        <v>1967</v>
      </c>
      <c r="CN213" s="857">
        <v>2272</v>
      </c>
      <c r="CR213" s="23" t="s">
        <v>48</v>
      </c>
      <c r="CS213" s="321">
        <v>323262</v>
      </c>
      <c r="CT213" s="321">
        <v>372718</v>
      </c>
      <c r="CU213" s="321">
        <v>449600</v>
      </c>
      <c r="CV213" s="321">
        <v>575488</v>
      </c>
      <c r="CW213" s="321">
        <v>641130</v>
      </c>
      <c r="CX213" s="14"/>
      <c r="CY213" s="23" t="s">
        <v>48</v>
      </c>
      <c r="CZ213" s="321">
        <v>323262</v>
      </c>
      <c r="DA213" s="321">
        <v>372718</v>
      </c>
      <c r="DB213" s="321">
        <v>449600</v>
      </c>
      <c r="DC213" s="321">
        <v>575488</v>
      </c>
      <c r="DD213" s="321">
        <v>641130</v>
      </c>
    </row>
    <row r="214" spans="1:108" ht="12.95" customHeight="1">
      <c r="D214" s="1474" t="s">
        <v>591</v>
      </c>
      <c r="E214" s="1474"/>
      <c r="F214" s="1474"/>
      <c r="G214" s="1474"/>
      <c r="H214" s="1474"/>
      <c r="I214" s="1474"/>
      <c r="J214" s="1474"/>
      <c r="K214" s="1474"/>
      <c r="L214" s="1474"/>
      <c r="M214" s="1474"/>
      <c r="N214" s="1474"/>
      <c r="O214" s="1474"/>
      <c r="P214" s="1474"/>
      <c r="Q214" s="1474"/>
      <c r="R214" s="1474"/>
      <c r="S214" s="1474"/>
      <c r="T214" s="1474"/>
      <c r="U214" s="1474"/>
      <c r="V214" s="1474"/>
      <c r="W214" s="1474"/>
      <c r="X214" s="1474"/>
      <c r="Y214" s="1474"/>
      <c r="Z214" s="1474"/>
      <c r="AU214" s="21"/>
      <c r="AV214" s="21"/>
      <c r="AW214" s="21"/>
      <c r="AX214" s="21"/>
      <c r="AY214" s="21"/>
      <c r="BC214" t="s">
        <v>530</v>
      </c>
      <c r="BI214" s="3" t="s">
        <v>2174</v>
      </c>
      <c r="BN214" s="23" t="s">
        <v>326</v>
      </c>
      <c r="BS214">
        <v>6</v>
      </c>
      <c r="BT214" s="32" t="s">
        <v>205</v>
      </c>
      <c r="CB214" s="350" t="s">
        <v>130</v>
      </c>
      <c r="CC214" s="464">
        <v>1780</v>
      </c>
      <c r="CD214" s="465">
        <v>1906</v>
      </c>
      <c r="CE214" s="464">
        <v>2286</v>
      </c>
      <c r="CF214" s="465">
        <v>2642</v>
      </c>
      <c r="CG214" s="465">
        <v>2946</v>
      </c>
      <c r="CH214" s="466">
        <v>3252</v>
      </c>
      <c r="CI214" s="3"/>
      <c r="CJ214" s="857">
        <v>987</v>
      </c>
      <c r="CK214" s="857">
        <v>1123</v>
      </c>
      <c r="CL214" s="857">
        <v>1439</v>
      </c>
      <c r="CM214" s="857">
        <v>1891</v>
      </c>
      <c r="CN214" s="857">
        <v>2416</v>
      </c>
      <c r="CR214" s="23" t="s">
        <v>129</v>
      </c>
      <c r="CS214" s="323">
        <v>402640</v>
      </c>
      <c r="CT214" s="323">
        <v>464240</v>
      </c>
      <c r="CU214" s="323">
        <v>560000</v>
      </c>
      <c r="CV214" s="323">
        <v>716800</v>
      </c>
      <c r="CW214" s="323">
        <v>798560</v>
      </c>
      <c r="CX214" s="14"/>
      <c r="CY214" s="23" t="s">
        <v>129</v>
      </c>
      <c r="CZ214" s="323">
        <v>402640</v>
      </c>
      <c r="DA214" s="323">
        <v>464240</v>
      </c>
      <c r="DB214" s="323">
        <v>560000</v>
      </c>
      <c r="DC214" s="323">
        <v>716800</v>
      </c>
      <c r="DD214" s="323">
        <v>798560</v>
      </c>
    </row>
    <row r="215" spans="1:108" ht="12.95" customHeight="1">
      <c r="D215" s="3" t="s">
        <v>1642</v>
      </c>
      <c r="Z215" s="40"/>
      <c r="AB215" s="1473">
        <v>62</v>
      </c>
      <c r="AC215" s="1473"/>
      <c r="AD215" s="1473"/>
      <c r="AE215" s="1473"/>
      <c r="AF215" s="1473"/>
      <c r="AG215" s="1473"/>
      <c r="AH215" s="1473"/>
      <c r="AI215" s="1473"/>
      <c r="AJ215" s="1473"/>
      <c r="AK215" s="1473"/>
      <c r="AL215" s="1473"/>
      <c r="AM215" s="21"/>
      <c r="AN215" s="21"/>
      <c r="AO215" s="21"/>
      <c r="AP215" s="21"/>
      <c r="AQ215" s="21"/>
      <c r="AR215" s="21"/>
      <c r="AS215" s="21"/>
      <c r="AT215" s="21"/>
      <c r="AU215" s="21"/>
      <c r="AV215" s="21"/>
      <c r="AW215" s="21"/>
      <c r="AX215" s="21"/>
      <c r="AY215" s="21"/>
      <c r="BC215" t="s">
        <v>527</v>
      </c>
      <c r="BI215" s="3" t="s">
        <v>2175</v>
      </c>
      <c r="CB215" s="350" t="s">
        <v>203</v>
      </c>
      <c r="CC215" s="467">
        <v>2620</v>
      </c>
      <c r="CD215" s="468">
        <v>2806</v>
      </c>
      <c r="CE215" s="467">
        <v>3370</v>
      </c>
      <c r="CF215" s="468">
        <v>3892</v>
      </c>
      <c r="CG215" s="468">
        <v>4342</v>
      </c>
      <c r="CH215" s="469">
        <v>4792</v>
      </c>
      <c r="CI215" s="3"/>
      <c r="CJ215" s="857">
        <v>1871</v>
      </c>
      <c r="CK215" s="857">
        <v>2147</v>
      </c>
      <c r="CL215" s="857">
        <v>2569</v>
      </c>
      <c r="CM215" s="857">
        <v>3505</v>
      </c>
      <c r="CN215" s="857">
        <v>4080</v>
      </c>
      <c r="CR215" s="23" t="s">
        <v>49</v>
      </c>
      <c r="CS215" s="321">
        <v>442904</v>
      </c>
      <c r="CT215" s="321">
        <v>510664</v>
      </c>
      <c r="CU215" s="321">
        <v>616000</v>
      </c>
      <c r="CV215" s="321">
        <v>788480</v>
      </c>
      <c r="CW215" s="321">
        <v>878416</v>
      </c>
      <c r="CX215" s="14"/>
      <c r="CY215" s="23" t="s">
        <v>49</v>
      </c>
      <c r="CZ215" s="321">
        <v>442904</v>
      </c>
      <c r="DA215" s="321">
        <v>510664</v>
      </c>
      <c r="DB215" s="321">
        <v>616000</v>
      </c>
      <c r="DC215" s="321">
        <v>788480</v>
      </c>
      <c r="DD215" s="321">
        <v>878416</v>
      </c>
    </row>
    <row r="216" spans="1:108" ht="12.95" customHeight="1">
      <c r="D216" s="3" t="s">
        <v>1640</v>
      </c>
      <c r="Z216" s="40"/>
      <c r="AB216" s="1473"/>
      <c r="AC216" s="1473"/>
      <c r="AD216" s="1473"/>
      <c r="AE216" s="1473"/>
      <c r="AF216" s="1473"/>
      <c r="AG216" s="1473"/>
      <c r="AH216" s="1473"/>
      <c r="AI216" s="1473"/>
      <c r="AJ216" s="1473"/>
      <c r="AK216" s="1473"/>
      <c r="AL216" s="1473"/>
      <c r="AM216" s="21"/>
      <c r="AN216" s="21"/>
      <c r="AO216" s="21"/>
      <c r="AP216" s="21"/>
      <c r="AQ216" s="21"/>
      <c r="AR216" s="21"/>
      <c r="AS216" s="21"/>
      <c r="AT216" s="21"/>
      <c r="AU216" s="21"/>
      <c r="AV216" s="21"/>
      <c r="AW216" s="21"/>
      <c r="AX216" s="21"/>
      <c r="AY216" s="21"/>
      <c r="BC216" t="s">
        <v>566</v>
      </c>
      <c r="BI216" t="s">
        <v>2173</v>
      </c>
      <c r="CB216" s="350" t="s">
        <v>204</v>
      </c>
      <c r="CC216" s="470">
        <v>2204</v>
      </c>
      <c r="CD216" s="471">
        <v>2362</v>
      </c>
      <c r="CE216" s="470">
        <v>2832</v>
      </c>
      <c r="CF216" s="471">
        <v>3272</v>
      </c>
      <c r="CG216" s="471">
        <v>3652</v>
      </c>
      <c r="CH216" s="472">
        <v>4030</v>
      </c>
      <c r="CI216" s="3"/>
      <c r="CJ216" s="857">
        <v>1602</v>
      </c>
      <c r="CK216" s="857">
        <v>1613</v>
      </c>
      <c r="CL216" s="857">
        <v>2116</v>
      </c>
      <c r="CM216" s="857">
        <v>2944</v>
      </c>
      <c r="CN216" s="857">
        <v>3299</v>
      </c>
      <c r="CR216" s="23" t="s">
        <v>50</v>
      </c>
      <c r="CS216" s="323">
        <v>360075</v>
      </c>
      <c r="CT216" s="323">
        <v>415163</v>
      </c>
      <c r="CU216" s="323">
        <v>500800</v>
      </c>
      <c r="CV216" s="323">
        <v>641024</v>
      </c>
      <c r="CW216" s="323">
        <v>714141</v>
      </c>
      <c r="CX216" s="14"/>
      <c r="CY216" s="23" t="s">
        <v>50</v>
      </c>
      <c r="CZ216" s="323">
        <v>360075</v>
      </c>
      <c r="DA216" s="323">
        <v>415163</v>
      </c>
      <c r="DB216" s="323">
        <v>500800</v>
      </c>
      <c r="DC216" s="323">
        <v>641024</v>
      </c>
      <c r="DD216" s="323">
        <v>714141</v>
      </c>
    </row>
    <row r="217" spans="1:108" ht="12.95"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528</v>
      </c>
      <c r="BI217" t="s">
        <v>2177</v>
      </c>
      <c r="CB217" s="350" t="s">
        <v>205</v>
      </c>
      <c r="CC217" s="473">
        <v>1680</v>
      </c>
      <c r="CD217" s="474">
        <v>1800</v>
      </c>
      <c r="CE217" s="473">
        <v>2160</v>
      </c>
      <c r="CF217" s="474">
        <v>2496</v>
      </c>
      <c r="CG217" s="474">
        <v>2784</v>
      </c>
      <c r="CH217" s="475">
        <v>3072</v>
      </c>
      <c r="CI217" s="3"/>
      <c r="CJ217" s="857">
        <v>1195</v>
      </c>
      <c r="CK217" s="857">
        <v>1197</v>
      </c>
      <c r="CL217" s="857">
        <v>1522</v>
      </c>
      <c r="CM217" s="857">
        <v>2133</v>
      </c>
      <c r="CN217" s="857">
        <v>2556</v>
      </c>
      <c r="CR217" s="23" t="s">
        <v>326</v>
      </c>
      <c r="CS217" s="321">
        <v>360075</v>
      </c>
      <c r="CT217" s="321">
        <v>415163</v>
      </c>
      <c r="CU217" s="321">
        <v>500800</v>
      </c>
      <c r="CV217" s="321">
        <v>641024</v>
      </c>
      <c r="CW217" s="321">
        <v>714141</v>
      </c>
      <c r="CX217" s="14"/>
      <c r="CY217" s="23" t="s">
        <v>326</v>
      </c>
      <c r="CZ217" s="321">
        <v>360075</v>
      </c>
      <c r="DA217" s="321">
        <v>415163</v>
      </c>
      <c r="DB217" s="321">
        <v>500800</v>
      </c>
      <c r="DC217" s="321">
        <v>641024</v>
      </c>
      <c r="DD217" s="321">
        <v>714141</v>
      </c>
    </row>
    <row r="218" spans="1:108" ht="12.95" customHeight="1">
      <c r="A218" s="2" t="s">
        <v>592</v>
      </c>
      <c r="C218" s="2" t="s">
        <v>2187</v>
      </c>
      <c r="D218" s="28"/>
      <c r="AC218" s="2" t="s">
        <v>2392</v>
      </c>
      <c r="BC218" t="s">
        <v>529</v>
      </c>
    </row>
    <row r="219" spans="1:108" ht="12.95" customHeight="1">
      <c r="A219" s="2"/>
      <c r="C219" s="2"/>
      <c r="D219" s="3" t="s">
        <v>2393</v>
      </c>
      <c r="AZ219" s="3"/>
      <c r="BA219" s="3"/>
      <c r="BC219" t="s">
        <v>377</v>
      </c>
    </row>
    <row r="220" spans="1:108" ht="12.95" customHeight="1">
      <c r="A220" s="2"/>
      <c r="C220" s="2"/>
      <c r="D220" s="1440" t="s">
        <v>307</v>
      </c>
      <c r="E220" s="1440"/>
      <c r="F220" s="1440"/>
      <c r="G220" s="1440"/>
      <c r="H220" s="1440"/>
      <c r="I220" s="1440"/>
      <c r="J220" s="1440"/>
      <c r="K220" s="1440"/>
      <c r="L220" s="1440"/>
      <c r="M220" s="1440"/>
      <c r="N220" s="1440"/>
      <c r="O220" s="1440"/>
      <c r="P220" s="1440"/>
      <c r="Q220" s="1440"/>
      <c r="R220" s="1440"/>
      <c r="S220" s="1440"/>
      <c r="T220" s="1440"/>
      <c r="U220" s="1440"/>
      <c r="V220" s="1440"/>
      <c r="W220" s="1440"/>
      <c r="X220" s="1440"/>
      <c r="Y220" s="1440"/>
      <c r="Z220" s="1440"/>
      <c r="AC220" s="1459" t="s">
        <v>307</v>
      </c>
      <c r="AD220" s="1459"/>
      <c r="AE220" s="1459"/>
      <c r="AF220" s="1459"/>
      <c r="AG220" s="1459"/>
      <c r="AH220" s="1459"/>
      <c r="AI220" s="1459"/>
      <c r="AJ220" s="1459"/>
      <c r="AK220" s="1459"/>
      <c r="AL220" s="1459"/>
      <c r="AM220" s="1459"/>
      <c r="AN220" s="1459"/>
      <c r="AO220" s="1459"/>
      <c r="AP220" s="1459"/>
      <c r="AQ220" s="1459"/>
      <c r="BA220" s="3"/>
      <c r="BC220" t="s">
        <v>300</v>
      </c>
    </row>
    <row r="221" spans="1:108" ht="12.95" customHeight="1">
      <c r="A221" s="2"/>
      <c r="B221" s="14"/>
      <c r="C221" s="2"/>
      <c r="BA221" s="3"/>
    </row>
    <row r="222" spans="1:108" ht="12.95" customHeight="1">
      <c r="A222" s="2" t="s">
        <v>2538</v>
      </c>
      <c r="B222" s="14"/>
      <c r="C222" s="2" t="s">
        <v>2539</v>
      </c>
      <c r="BA222" s="3"/>
    </row>
    <row r="223" spans="1:108" ht="12.95" customHeight="1">
      <c r="A223" s="2"/>
      <c r="B223" s="14"/>
      <c r="C223" s="2"/>
      <c r="D223" s="3" t="s">
        <v>2540</v>
      </c>
      <c r="BA223" s="3"/>
    </row>
    <row r="224" spans="1:108" ht="12.95" customHeight="1">
      <c r="A224" s="2"/>
      <c r="B224" s="14"/>
      <c r="C224" s="2"/>
      <c r="E224" s="3" t="s">
        <v>2541</v>
      </c>
      <c r="V224" s="1324" t="s">
        <v>669</v>
      </c>
      <c r="W224" s="1324"/>
      <c r="Y224" s="1193"/>
      <c r="BA224" s="3"/>
    </row>
    <row r="225" spans="1:69" ht="12.95" customHeight="1">
      <c r="A225" s="2"/>
      <c r="B225" s="14"/>
      <c r="C225" s="2"/>
      <c r="E225" s="3" t="s">
        <v>2542</v>
      </c>
      <c r="V225" s="1324" t="s">
        <v>669</v>
      </c>
      <c r="W225" s="1324"/>
      <c r="Y225" s="1194" t="str">
        <f>IF(AND(V225="Yes",OR(V226="Yes",V227="Yes",V228="Yes",V229="Yes")),"!","")</f>
        <v/>
      </c>
      <c r="Z225" s="1195" t="str">
        <f>IF(Y225="!","Requirements for pools/set-asides selected are mutually exclusive.","")</f>
        <v/>
      </c>
      <c r="AA225" s="1195"/>
      <c r="AB225" s="1195"/>
      <c r="AC225" s="1195"/>
      <c r="AD225" s="1195"/>
      <c r="AE225" s="1195"/>
      <c r="AF225" s="1195"/>
      <c r="AG225" s="1195"/>
      <c r="AH225" s="1195"/>
      <c r="AI225" s="1195"/>
      <c r="AJ225" s="1195"/>
      <c r="AK225" s="1195"/>
      <c r="AL225" s="1195"/>
      <c r="AM225" s="1195"/>
      <c r="AN225" s="1195"/>
      <c r="AO225" s="1195"/>
      <c r="AP225" s="1195"/>
      <c r="AQ225" s="1195"/>
      <c r="AR225" s="1195"/>
      <c r="AS225" s="1195"/>
      <c r="AT225" s="1195"/>
      <c r="BA225" s="3"/>
    </row>
    <row r="226" spans="1:69" ht="12.95" customHeight="1">
      <c r="A226" s="2"/>
      <c r="B226" s="14"/>
      <c r="C226" s="2"/>
      <c r="E226" s="3" t="s">
        <v>2543</v>
      </c>
      <c r="V226" s="1333" t="s">
        <v>669</v>
      </c>
      <c r="W226" s="1333"/>
      <c r="Y226" s="1194" t="str">
        <f>IF(AND(V226="Yes",OR(V227="Yes",V228="Yes",V229="Yes",V225="Yes")),"!","")</f>
        <v/>
      </c>
      <c r="Z226" s="1195" t="str">
        <f>IF(Y226="!","Requirements for pools/set-asides selected are mutually exclusive.","")</f>
        <v/>
      </c>
      <c r="AA226" s="1195"/>
      <c r="AB226" s="1195"/>
      <c r="AC226" s="1195"/>
      <c r="AD226" s="1195"/>
      <c r="AE226" s="1195"/>
      <c r="AF226" s="1195"/>
      <c r="AG226" s="1195"/>
      <c r="AH226" s="1195"/>
      <c r="AI226" s="1195"/>
      <c r="AJ226" s="1195"/>
      <c r="AK226" s="1195"/>
      <c r="AL226" s="1195"/>
      <c r="AM226" s="1195"/>
      <c r="AN226" s="1195"/>
      <c r="AO226" s="1195"/>
      <c r="AP226" s="1195"/>
      <c r="AQ226" s="1195"/>
      <c r="AR226" s="1195"/>
      <c r="AS226" s="1195"/>
      <c r="AT226" s="1195"/>
      <c r="BA226" s="3"/>
    </row>
    <row r="227" spans="1:69" ht="12.95" customHeight="1">
      <c r="A227" s="2"/>
      <c r="B227" s="14"/>
      <c r="C227" s="2"/>
      <c r="E227" s="3" t="s">
        <v>2544</v>
      </c>
      <c r="V227" s="1333" t="s">
        <v>669</v>
      </c>
      <c r="W227" s="1333"/>
      <c r="Y227" s="1194" t="str">
        <f>IF(AND(V227="Yes",OR(V229="Yes",V225="Yes",V226="Yes")),"!","")</f>
        <v/>
      </c>
      <c r="Z227" s="1195" t="str">
        <f>IF(Y227="!","Requirements for pools/set-asides selected are mutually exclusive.","")</f>
        <v/>
      </c>
      <c r="AA227" s="1195"/>
      <c r="AB227" s="1195"/>
      <c r="AC227" s="1195"/>
      <c r="AD227" s="1195"/>
      <c r="AE227" s="1195"/>
      <c r="AF227" s="1195"/>
      <c r="AG227" s="1195"/>
      <c r="AH227" s="1195"/>
      <c r="AI227" s="1195"/>
      <c r="AJ227" s="1195"/>
      <c r="AK227" s="1195"/>
      <c r="AL227" s="1195"/>
      <c r="AM227" s="1195"/>
      <c r="AN227" s="1195"/>
      <c r="AO227" s="1195"/>
      <c r="AP227" s="1195"/>
      <c r="AQ227" s="1195"/>
      <c r="AR227" s="1195"/>
      <c r="AS227" s="1195"/>
      <c r="AT227" s="1195"/>
      <c r="BA227" s="3"/>
    </row>
    <row r="228" spans="1:69" ht="12.95" customHeight="1">
      <c r="A228" s="2"/>
      <c r="B228" s="14"/>
      <c r="C228" s="2"/>
      <c r="E228" s="3" t="s">
        <v>2545</v>
      </c>
      <c r="V228" s="1333" t="s">
        <v>669</v>
      </c>
      <c r="W228" s="1333"/>
      <c r="Y228" s="1194" t="str">
        <f>IF(AND(V228="Yes",OR(V229="Yes",V225="Yes",V226="Yes")),"!","")</f>
        <v/>
      </c>
      <c r="Z228" s="1195" t="str">
        <f t="shared" ref="Z228:Z229" si="1">IF(Y228="!","Requirements for pools/set-asides selected are mutually exclusive.","")</f>
        <v/>
      </c>
      <c r="AA228" s="1195"/>
      <c r="AB228" s="1195"/>
      <c r="AC228" s="1195"/>
      <c r="AD228" s="1195"/>
      <c r="AE228" s="1195"/>
      <c r="AF228" s="1195"/>
      <c r="AG228" s="1195"/>
      <c r="AH228" s="1195"/>
      <c r="AI228" s="1195"/>
      <c r="AJ228" s="1195"/>
      <c r="AK228" s="1195"/>
      <c r="AL228" s="1195"/>
      <c r="AM228" s="1195"/>
      <c r="AN228" s="1195"/>
      <c r="AO228" s="1195"/>
      <c r="AP228" s="1195"/>
      <c r="AQ228" s="1195"/>
      <c r="AR228" s="1195"/>
      <c r="AS228" s="1195"/>
      <c r="AT228" s="1195"/>
      <c r="BA228" s="3"/>
    </row>
    <row r="229" spans="1:69" ht="12.95" customHeight="1">
      <c r="A229" s="2"/>
      <c r="B229" s="14"/>
      <c r="C229" s="2"/>
      <c r="E229" s="3" t="s">
        <v>2546</v>
      </c>
      <c r="V229" s="1333" t="s">
        <v>669</v>
      </c>
      <c r="W229" s="1333"/>
      <c r="Y229" s="1194" t="str">
        <f>IF(AND(V229="Yes",OR(V228="Yes",V227="Yes",V226="Yes",V225="Yes")),"!","")</f>
        <v/>
      </c>
      <c r="Z229" s="1195" t="str">
        <f t="shared" si="1"/>
        <v/>
      </c>
      <c r="AA229" s="1195"/>
      <c r="AB229" s="1195"/>
      <c r="AC229" s="1195"/>
      <c r="AD229" s="1195"/>
      <c r="AE229" s="1195"/>
      <c r="AF229" s="1195"/>
      <c r="AG229" s="1195"/>
      <c r="AH229" s="1195"/>
      <c r="AI229" s="1195"/>
      <c r="AJ229" s="1195"/>
      <c r="AK229" s="1195"/>
      <c r="AL229" s="1195"/>
      <c r="AM229" s="1195"/>
      <c r="AN229" s="1195"/>
      <c r="AO229" s="1195"/>
      <c r="AP229" s="1195"/>
      <c r="AQ229" s="1195"/>
      <c r="AR229" s="1195"/>
      <c r="AS229" s="1195"/>
      <c r="AT229" s="1195"/>
      <c r="BA229" s="3"/>
    </row>
    <row r="230" spans="1:69" ht="12.95" customHeight="1">
      <c r="A230" s="2"/>
      <c r="B230" s="14"/>
      <c r="C230" s="2"/>
      <c r="BA230" s="3"/>
    </row>
    <row r="231" spans="1:69" ht="12.95" customHeight="1">
      <c r="A231" s="1457" t="s">
        <v>540</v>
      </c>
      <c r="B231" s="1457"/>
      <c r="C231" s="1457"/>
      <c r="D231" s="1457"/>
      <c r="E231" s="1457"/>
      <c r="F231" s="1457"/>
      <c r="G231" s="1457"/>
      <c r="H231" s="1457"/>
      <c r="I231" s="1457"/>
      <c r="J231" s="1457"/>
      <c r="K231" s="1457"/>
      <c r="L231" s="1457"/>
      <c r="M231" s="1457"/>
      <c r="N231" s="1457"/>
      <c r="O231" s="1457"/>
      <c r="P231" s="1457"/>
      <c r="Q231" s="1457"/>
      <c r="R231" s="1457"/>
      <c r="S231" s="1457"/>
      <c r="T231" s="1457"/>
      <c r="U231" s="1457"/>
      <c r="V231" s="1457"/>
      <c r="W231" s="1457"/>
      <c r="X231" s="1457"/>
      <c r="Y231" s="1457"/>
      <c r="Z231" s="1457"/>
      <c r="AA231" s="1457"/>
      <c r="AB231" s="1457"/>
      <c r="AC231" s="1457"/>
      <c r="AD231" s="1457"/>
      <c r="AE231" s="1457"/>
      <c r="AF231" s="1457"/>
      <c r="AG231" s="1457"/>
      <c r="AH231" s="1457"/>
      <c r="AI231" s="1457"/>
      <c r="AJ231" s="1457"/>
      <c r="AK231" s="1457"/>
      <c r="AL231" s="1457"/>
      <c r="AM231" s="1457"/>
      <c r="AN231" s="1457"/>
      <c r="AO231" s="1457"/>
      <c r="AP231" s="1457"/>
      <c r="AQ231" s="1457"/>
      <c r="AR231" s="1457"/>
      <c r="AS231" s="1457"/>
      <c r="AT231" s="1457"/>
      <c r="AU231" s="95"/>
      <c r="AV231" s="95"/>
      <c r="AW231" s="95"/>
      <c r="AX231" s="95"/>
      <c r="AY231" s="95"/>
      <c r="AZ231" s="3"/>
      <c r="BA231" s="3"/>
      <c r="BP231" s="34"/>
    </row>
    <row r="232" spans="1:69" ht="12.95" customHeight="1">
      <c r="A232" s="1457"/>
      <c r="B232" s="1457"/>
      <c r="C232" s="1457"/>
      <c r="D232" s="1457"/>
      <c r="E232" s="1457"/>
      <c r="F232" s="1457"/>
      <c r="G232" s="1457"/>
      <c r="H232" s="1457"/>
      <c r="I232" s="1457"/>
      <c r="J232" s="1457"/>
      <c r="K232" s="1457"/>
      <c r="L232" s="1457"/>
      <c r="M232" s="1457"/>
      <c r="N232" s="1457"/>
      <c r="O232" s="1457"/>
      <c r="P232" s="1457"/>
      <c r="Q232" s="1457"/>
      <c r="R232" s="1457"/>
      <c r="S232" s="1457"/>
      <c r="T232" s="1457"/>
      <c r="U232" s="1457"/>
      <c r="V232" s="1457"/>
      <c r="W232" s="1457"/>
      <c r="X232" s="1457"/>
      <c r="Y232" s="1457"/>
      <c r="Z232" s="1457"/>
      <c r="AA232" s="1457"/>
      <c r="AB232" s="1457"/>
      <c r="AC232" s="1457"/>
      <c r="AD232" s="1457"/>
      <c r="AE232" s="1457"/>
      <c r="AF232" s="1457"/>
      <c r="AG232" s="1457"/>
      <c r="AH232" s="1457"/>
      <c r="AI232" s="1457"/>
      <c r="AJ232" s="1457"/>
      <c r="AK232" s="1457"/>
      <c r="AL232" s="1457"/>
      <c r="AM232" s="1457"/>
      <c r="AN232" s="1457"/>
      <c r="AO232" s="1457"/>
      <c r="AP232" s="1457"/>
      <c r="AQ232" s="1457"/>
      <c r="AR232" s="1457"/>
      <c r="AS232" s="1457"/>
      <c r="AT232" s="1457"/>
      <c r="BA232" s="3"/>
      <c r="BB232" s="3"/>
      <c r="BQ232" s="34"/>
    </row>
    <row r="233" spans="1:69" ht="12.95" customHeight="1">
      <c r="AZ233" s="4"/>
      <c r="BA233" s="3"/>
      <c r="BB233" s="3"/>
      <c r="BQ233" s="34"/>
    </row>
    <row r="234" spans="1:69" ht="12.95" customHeight="1">
      <c r="A234" s="2" t="s">
        <v>319</v>
      </c>
      <c r="B234" s="2"/>
      <c r="C234" s="2" t="s">
        <v>2037</v>
      </c>
      <c r="D234" s="2"/>
      <c r="E234" s="4"/>
      <c r="F234" s="4"/>
      <c r="G234" s="4"/>
      <c r="H234" s="4"/>
      <c r="I234" s="4"/>
      <c r="J234" s="4"/>
      <c r="K234" s="4"/>
      <c r="L234" s="4"/>
      <c r="M234" s="4"/>
      <c r="N234" s="4"/>
      <c r="O234" s="4"/>
      <c r="P234" s="4"/>
      <c r="Q234" s="4"/>
      <c r="R234" s="4"/>
      <c r="S234" s="4"/>
      <c r="T234" s="4"/>
      <c r="U234" s="4"/>
      <c r="V234" s="4"/>
      <c r="W234" s="4"/>
      <c r="X234" s="4"/>
      <c r="Y234" s="4"/>
      <c r="Z234" s="4"/>
      <c r="AA234" s="4"/>
      <c r="AB234" s="4"/>
      <c r="AC234" s="4"/>
      <c r="AD234" s="4"/>
      <c r="AE234" s="4"/>
      <c r="AF234" s="4"/>
      <c r="AG234" s="4"/>
      <c r="AH234" s="4"/>
      <c r="AI234" s="4"/>
      <c r="AJ234" s="4"/>
      <c r="AU234" s="3"/>
      <c r="AV234" s="3"/>
      <c r="AW234" s="3"/>
      <c r="AX234" s="3"/>
      <c r="AY234" s="3"/>
    </row>
    <row r="235" spans="1:69" ht="12.95" customHeight="1">
      <c r="B235" s="4"/>
      <c r="D235" s="4" t="s">
        <v>607</v>
      </c>
      <c r="E235" s="4"/>
      <c r="F235" s="4"/>
      <c r="G235" s="4"/>
      <c r="H235" s="4"/>
      <c r="I235" s="4"/>
      <c r="J235" s="4"/>
      <c r="K235" s="4"/>
      <c r="L235" s="4"/>
      <c r="M235" s="4"/>
      <c r="N235" s="4"/>
      <c r="O235" s="4"/>
      <c r="P235" s="4"/>
      <c r="Q235" s="4"/>
      <c r="R235" s="4"/>
      <c r="S235" s="4"/>
      <c r="T235" s="4"/>
      <c r="U235" s="4"/>
      <c r="V235" s="4"/>
      <c r="W235" s="4"/>
      <c r="X235" s="4"/>
      <c r="Y235" s="4"/>
      <c r="Z235" s="4"/>
      <c r="AA235" s="4"/>
      <c r="AB235" s="4"/>
      <c r="AC235" s="4"/>
      <c r="AD235" s="4"/>
      <c r="AE235" s="4"/>
      <c r="AF235" s="4"/>
      <c r="AG235" s="4"/>
      <c r="AH235" s="4"/>
      <c r="AI235" s="1324" t="s">
        <v>545</v>
      </c>
      <c r="AJ235" s="1324"/>
      <c r="AL235" s="3"/>
      <c r="AM235" s="3"/>
      <c r="AN235" s="3"/>
      <c r="AO235" s="3"/>
      <c r="AP235" s="3"/>
      <c r="AQ235" s="3"/>
      <c r="AR235" s="3"/>
      <c r="AS235" s="3"/>
      <c r="AT235" s="3"/>
      <c r="AU235" s="3"/>
      <c r="AV235" s="3"/>
      <c r="AW235" s="3"/>
      <c r="AX235" s="3"/>
      <c r="AY235" s="3"/>
      <c r="AZ235" s="4"/>
      <c r="BB235" s="204" t="s">
        <v>538</v>
      </c>
      <c r="BG235" s="241">
        <f>IF(AND(AND($M$258="for profit",$M$266="for profit",$M$274="nonprofit")),2,0)</f>
        <v>0</v>
      </c>
    </row>
    <row r="236" spans="1:69" ht="12.95" customHeight="1">
      <c r="B236" s="4"/>
      <c r="D236" s="4" t="s">
        <v>554</v>
      </c>
      <c r="E236" s="4"/>
      <c r="F236" s="4"/>
      <c r="G236" s="4"/>
      <c r="H236" s="4"/>
      <c r="I236" s="4"/>
      <c r="J236" s="4"/>
      <c r="K236" s="4"/>
      <c r="L236" s="4"/>
      <c r="M236" s="4"/>
      <c r="N236" s="4"/>
      <c r="O236" s="4"/>
      <c r="P236" s="4"/>
      <c r="Q236" s="4"/>
      <c r="R236" s="4"/>
      <c r="S236" s="4"/>
      <c r="T236" s="4"/>
      <c r="U236" s="4"/>
      <c r="V236" s="4"/>
      <c r="W236" s="4"/>
      <c r="X236" s="4"/>
      <c r="Y236" s="4"/>
      <c r="Z236" s="4"/>
      <c r="AA236" s="4"/>
      <c r="AB236" s="4"/>
      <c r="AC236" s="4"/>
      <c r="AD236" s="4"/>
      <c r="AE236" s="4"/>
      <c r="AF236" s="4"/>
      <c r="AG236" s="4"/>
      <c r="AH236" s="4"/>
      <c r="AI236" s="1324" t="s">
        <v>591</v>
      </c>
      <c r="AJ236" s="1324"/>
      <c r="AL236" s="3"/>
      <c r="AM236" s="3"/>
      <c r="AN236" s="3"/>
      <c r="AO236" s="3"/>
      <c r="AP236" s="3"/>
      <c r="AQ236" s="3"/>
      <c r="AR236" s="3"/>
      <c r="AS236" s="3"/>
      <c r="AT236" s="3"/>
      <c r="AU236" s="3"/>
      <c r="AV236" s="3"/>
      <c r="AW236" s="3"/>
      <c r="AX236" s="3"/>
      <c r="AY236" s="3"/>
      <c r="BA236" s="3"/>
      <c r="BB236" s="204" t="s">
        <v>538</v>
      </c>
      <c r="BG236" s="241">
        <f>IF(AND(AND($M$258="for profit",$M$266="nonprofit",$M$274="for profit")),2,0)</f>
        <v>0</v>
      </c>
    </row>
    <row r="237" spans="1:69" ht="12.95" customHeight="1">
      <c r="B237" s="4"/>
      <c r="D237" s="4" t="s">
        <v>167</v>
      </c>
      <c r="E237" s="4"/>
      <c r="F237" s="4"/>
      <c r="G237" s="4"/>
      <c r="H237" s="4"/>
      <c r="I237" s="4"/>
      <c r="J237" s="4"/>
      <c r="K237" s="4"/>
      <c r="L237" s="4"/>
      <c r="M237" s="4"/>
      <c r="N237" s="4"/>
      <c r="O237" s="4"/>
      <c r="P237" s="4"/>
      <c r="Q237" s="4"/>
      <c r="R237" s="4"/>
      <c r="S237" s="4"/>
      <c r="T237" s="4"/>
      <c r="U237" s="4"/>
      <c r="V237" s="4"/>
      <c r="W237" s="4"/>
      <c r="X237" s="4"/>
      <c r="Y237" s="4"/>
      <c r="Z237" s="4"/>
      <c r="AA237" s="4"/>
      <c r="AB237" s="4"/>
      <c r="AC237" s="4"/>
      <c r="AD237" s="4"/>
      <c r="AE237" s="4"/>
      <c r="AF237" s="4"/>
      <c r="AG237" s="4"/>
      <c r="AH237" s="4"/>
      <c r="AI237" s="1324" t="s">
        <v>591</v>
      </c>
      <c r="AJ237" s="1324"/>
      <c r="AL237" s="3"/>
      <c r="AM237" s="3"/>
      <c r="AN237" s="3"/>
      <c r="AO237" s="3"/>
      <c r="AP237" s="3"/>
      <c r="AQ237" s="3"/>
      <c r="AR237" s="3"/>
      <c r="AS237" s="3"/>
      <c r="AT237" s="3"/>
      <c r="AU237" s="3"/>
      <c r="AV237" s="3"/>
      <c r="AW237" s="3"/>
      <c r="AX237" s="3"/>
      <c r="AY237" s="3"/>
      <c r="AZ237" s="4"/>
      <c r="BA237" s="3"/>
      <c r="BB237" s="204" t="s">
        <v>538</v>
      </c>
      <c r="BG237" s="241">
        <f>IF(AND(AND($M$258="nonprofit",$M$266="for profit",$M$274="for profit")),2,0)</f>
        <v>0</v>
      </c>
    </row>
    <row r="238" spans="1:69" ht="12.95" customHeight="1">
      <c r="B238" s="4"/>
      <c r="D238" s="4" t="s">
        <v>294</v>
      </c>
      <c r="E238" s="4"/>
      <c r="F238" s="4"/>
      <c r="G238" s="4"/>
      <c r="H238" s="4"/>
      <c r="I238" s="4"/>
      <c r="J238" s="4"/>
      <c r="K238" s="4"/>
      <c r="L238" s="4"/>
      <c r="M238" s="4"/>
      <c r="N238" s="4"/>
      <c r="O238" s="4"/>
      <c r="P238" s="4"/>
      <c r="Q238" s="4"/>
      <c r="R238" s="4"/>
      <c r="S238" s="4"/>
      <c r="T238" s="4"/>
      <c r="U238" s="4"/>
      <c r="V238" s="4"/>
      <c r="W238" s="4"/>
      <c r="X238" s="4"/>
      <c r="Y238" s="4"/>
      <c r="Z238" s="4"/>
      <c r="AA238" s="4"/>
      <c r="AB238" s="4"/>
      <c r="AC238" s="4"/>
      <c r="AD238" s="4"/>
      <c r="AE238" s="4"/>
      <c r="AF238" s="4"/>
      <c r="AG238" s="4"/>
      <c r="AH238" s="4"/>
      <c r="AI238" s="1324" t="s">
        <v>591</v>
      </c>
      <c r="AJ238" s="1324"/>
      <c r="AL238" s="3"/>
      <c r="AM238" s="3"/>
      <c r="AN238" s="3"/>
      <c r="AO238" s="3"/>
      <c r="AP238" s="3"/>
      <c r="AQ238" s="3"/>
      <c r="AR238" s="3"/>
      <c r="AS238" s="3"/>
      <c r="AT238" s="3"/>
      <c r="AU238" s="3"/>
      <c r="AV238" s="3"/>
      <c r="AW238" s="3"/>
      <c r="AX238" s="3"/>
      <c r="AY238" s="3"/>
      <c r="BA238" s="3"/>
      <c r="BB238" s="204" t="s">
        <v>538</v>
      </c>
      <c r="BG238" s="241">
        <f>IF(AND(AND($M$258="for profit",$M$266="nonprofit",$M$274="(select one)")),2,0)</f>
        <v>2</v>
      </c>
    </row>
    <row r="239" spans="1:69" ht="12.95" customHeight="1">
      <c r="B239" s="4"/>
      <c r="D239" s="4"/>
      <c r="E239" s="4"/>
      <c r="F239" s="4"/>
      <c r="G239" s="4"/>
      <c r="H239" s="4"/>
      <c r="I239" s="4"/>
      <c r="J239" s="4"/>
      <c r="K239" s="4"/>
      <c r="L239" s="4"/>
      <c r="M239" s="4"/>
      <c r="N239" s="4"/>
      <c r="O239" s="4"/>
      <c r="P239" s="4"/>
      <c r="Q239" s="4"/>
      <c r="R239" s="4"/>
      <c r="S239" s="4"/>
      <c r="T239" s="4"/>
      <c r="U239" s="4"/>
      <c r="V239" s="4"/>
      <c r="W239" s="4"/>
      <c r="X239" s="4"/>
      <c r="Y239" s="4"/>
      <c r="Z239" s="4"/>
      <c r="AA239" s="4"/>
      <c r="AB239" s="4"/>
      <c r="AC239" s="4"/>
      <c r="AD239" s="4"/>
      <c r="AE239" s="4"/>
      <c r="AF239" s="4"/>
      <c r="AG239" s="4"/>
      <c r="AH239" s="4"/>
      <c r="AI239" s="4"/>
      <c r="AJ239" s="4"/>
      <c r="AL239" s="3"/>
      <c r="AM239" s="3"/>
      <c r="AN239" s="3"/>
      <c r="AO239" s="3"/>
      <c r="AP239" s="3"/>
      <c r="AQ239" s="3"/>
      <c r="AR239" s="3"/>
      <c r="AS239" s="3"/>
      <c r="AT239" s="3"/>
      <c r="AU239" s="3"/>
      <c r="AV239" s="3"/>
      <c r="AW239" s="3"/>
      <c r="AX239" s="3"/>
      <c r="AY239" s="3"/>
      <c r="BA239" s="3"/>
      <c r="BB239" s="204" t="s">
        <v>538</v>
      </c>
      <c r="BG239" s="240">
        <f>IF(AND(AND($M$258="nonprofit",$M$266="for profit",$M$274="(select one)")),2,0)</f>
        <v>0</v>
      </c>
    </row>
    <row r="240" spans="1:69" ht="12.95" customHeight="1">
      <c r="A240" s="2" t="s">
        <v>576</v>
      </c>
      <c r="B240" s="4"/>
      <c r="C240" s="2" t="s">
        <v>2038</v>
      </c>
      <c r="D240" s="4"/>
      <c r="E240" s="4"/>
      <c r="F240" s="4"/>
      <c r="G240" s="4"/>
      <c r="H240" s="4"/>
      <c r="I240" s="4"/>
      <c r="J240" s="4"/>
      <c r="K240" s="4"/>
      <c r="L240" s="4"/>
      <c r="M240" s="4"/>
      <c r="N240" s="4"/>
      <c r="O240" s="4"/>
      <c r="P240" s="4"/>
      <c r="Q240" s="4"/>
      <c r="R240" s="4"/>
      <c r="S240" s="4"/>
      <c r="T240" s="4"/>
      <c r="U240" s="4"/>
      <c r="V240" s="4"/>
      <c r="W240" s="4"/>
      <c r="X240" s="4"/>
      <c r="Y240" s="4"/>
      <c r="Z240" s="4"/>
      <c r="AA240" s="4"/>
      <c r="AB240" s="4"/>
      <c r="AC240" s="4"/>
      <c r="AD240" s="4"/>
      <c r="AE240" s="4"/>
      <c r="AF240" s="4"/>
      <c r="AG240" s="4"/>
      <c r="AH240" s="4"/>
      <c r="AI240" s="4"/>
      <c r="AJ240" s="4"/>
      <c r="AL240" s="3"/>
      <c r="AM240" s="3"/>
      <c r="AN240" s="3"/>
      <c r="AO240" s="3"/>
      <c r="AP240" s="3"/>
      <c r="AQ240" s="3"/>
      <c r="AR240" s="3"/>
      <c r="AS240" s="3"/>
      <c r="AT240" s="3"/>
      <c r="BA240" s="3"/>
      <c r="BB240" s="204"/>
      <c r="BG240" s="204"/>
    </row>
    <row r="241" spans="1:67" ht="12.95" customHeight="1">
      <c r="D241" s="4" t="s">
        <v>470</v>
      </c>
      <c r="E241" s="4"/>
      <c r="F241" s="4"/>
      <c r="G241" s="4"/>
      <c r="H241" s="4"/>
      <c r="I241" s="4"/>
      <c r="J241" s="4"/>
      <c r="K241" s="4"/>
      <c r="M241" s="1486" t="str">
        <f>H16</f>
        <v>Moraga Park Street LP</v>
      </c>
      <c r="N241" s="1486"/>
      <c r="O241" s="1486"/>
      <c r="P241" s="1486"/>
      <c r="Q241" s="1486"/>
      <c r="R241" s="1486"/>
      <c r="S241" s="1486"/>
      <c r="T241" s="1486"/>
      <c r="U241" s="1486"/>
      <c r="V241" s="1486"/>
      <c r="W241" s="1486"/>
      <c r="X241" s="1486"/>
      <c r="Y241" s="1486"/>
      <c r="Z241" s="1486"/>
      <c r="AA241" s="1486"/>
      <c r="AB241" s="1486"/>
      <c r="AC241" s="1486"/>
      <c r="AD241" s="1486"/>
      <c r="AE241" s="1486"/>
      <c r="AF241" s="1486"/>
      <c r="AG241" s="1486"/>
      <c r="AH241" s="1486"/>
      <c r="AI241" s="1486"/>
      <c r="AJ241" s="1486"/>
      <c r="AK241" s="1486"/>
      <c r="AZ241" s="4"/>
      <c r="BA241" s="3"/>
      <c r="BB241" s="205" t="s">
        <v>538</v>
      </c>
      <c r="BG241" s="241">
        <f>IF(AND(AND($M$258="nonprofit",$M$266="nonprofit",$M$274="for profit")),2,0)</f>
        <v>0</v>
      </c>
    </row>
    <row r="242" spans="1:67" ht="12.95" customHeight="1">
      <c r="D242" s="4" t="s">
        <v>85</v>
      </c>
      <c r="E242" s="4"/>
      <c r="F242" s="4"/>
      <c r="G242" s="4"/>
      <c r="H242" s="4"/>
      <c r="I242" s="4"/>
      <c r="J242" s="4"/>
      <c r="K242" s="4"/>
      <c r="M242" s="1358" t="s">
        <v>2647</v>
      </c>
      <c r="N242" s="1440"/>
      <c r="O242" s="1440"/>
      <c r="P242" s="1440"/>
      <c r="Q242" s="1440"/>
      <c r="R242" s="1440"/>
      <c r="S242" s="1440"/>
      <c r="T242" s="1440"/>
      <c r="U242" s="1440"/>
      <c r="V242" s="1440"/>
      <c r="W242" s="1440"/>
      <c r="X242" s="1440"/>
      <c r="Y242" s="1440"/>
      <c r="Z242" s="1440"/>
      <c r="AA242" s="1440"/>
      <c r="AB242" s="1440"/>
      <c r="AC242" s="1440"/>
      <c r="AD242" s="1440"/>
      <c r="AE242" s="1440"/>
      <c r="BB242" s="205" t="s">
        <v>538</v>
      </c>
      <c r="BG242" s="241">
        <f>IF(AND(AND($M$258="nonprofit",$M$266="for profit",$M$274="nonprofit")),2,0)</f>
        <v>0</v>
      </c>
    </row>
    <row r="243" spans="1:67" ht="12.95" customHeight="1">
      <c r="D243" s="4" t="s">
        <v>580</v>
      </c>
      <c r="E243" s="4"/>
      <c r="M243" s="1358" t="s">
        <v>2648</v>
      </c>
      <c r="N243" s="1440"/>
      <c r="O243" s="1440"/>
      <c r="P243" s="1440"/>
      <c r="Q243" s="1440"/>
      <c r="R243" s="1440"/>
      <c r="S243" s="1440"/>
      <c r="T243" s="1440"/>
      <c r="V243" s="33" t="s">
        <v>86</v>
      </c>
      <c r="W243" s="1441" t="s">
        <v>2649</v>
      </c>
      <c r="X243" s="1416"/>
      <c r="Y243" s="4" t="s">
        <v>583</v>
      </c>
      <c r="AC243" s="1440">
        <v>95521</v>
      </c>
      <c r="AD243" s="1440"/>
      <c r="AE243" s="1440"/>
      <c r="AU243" s="4"/>
      <c r="AV243" s="4"/>
      <c r="AW243" s="4"/>
      <c r="AX243" s="4"/>
      <c r="AY243" s="4"/>
      <c r="AZ243" s="4"/>
      <c r="BB243" s="205" t="s">
        <v>538</v>
      </c>
      <c r="BG243" s="240">
        <f>IF(AND(AND($M$258="for profit",$M$266="nonprofit",$M$274="nonprofit")),2,0)</f>
        <v>0</v>
      </c>
    </row>
    <row r="244" spans="1:67" ht="12.95" customHeight="1">
      <c r="D244" s="4" t="s">
        <v>87</v>
      </c>
      <c r="E244" s="4"/>
      <c r="F244" s="4"/>
      <c r="G244" s="4"/>
      <c r="H244" s="4"/>
      <c r="I244" s="4"/>
      <c r="J244" s="4"/>
      <c r="K244" s="19"/>
      <c r="M244" s="1358" t="s">
        <v>2663</v>
      </c>
      <c r="N244" s="1440"/>
      <c r="O244" s="1440"/>
      <c r="P244" s="1440"/>
      <c r="Q244" s="1440"/>
      <c r="R244" s="1440"/>
      <c r="S244" s="1440"/>
      <c r="T244" s="1440"/>
      <c r="U244" s="1440"/>
      <c r="V244" s="1440"/>
      <c r="W244" s="1440"/>
      <c r="X244" s="1440"/>
      <c r="Y244" s="1440"/>
      <c r="Z244" s="1440"/>
      <c r="AA244" s="1440"/>
      <c r="AB244" s="1440"/>
      <c r="AC244" s="1440"/>
      <c r="AD244" s="1440"/>
      <c r="AE244" s="1440"/>
      <c r="AI244" s="4"/>
      <c r="AJ244" s="4"/>
      <c r="AK244" s="4"/>
      <c r="AL244" s="4"/>
      <c r="AM244" s="4"/>
      <c r="AN244" s="4"/>
      <c r="AO244" s="4"/>
      <c r="AP244" s="4"/>
      <c r="AQ244" s="4"/>
      <c r="AR244" s="4"/>
      <c r="AS244" s="4"/>
      <c r="AT244" s="4"/>
      <c r="BB244" s="205"/>
      <c r="BG244" s="204"/>
    </row>
    <row r="245" spans="1:67" ht="12.95" customHeight="1">
      <c r="D245" s="4" t="s">
        <v>88</v>
      </c>
      <c r="E245" s="4"/>
      <c r="F245" s="4"/>
      <c r="M245" s="1328" t="s">
        <v>2664</v>
      </c>
      <c r="N245" s="1329"/>
      <c r="O245" s="1329"/>
      <c r="P245" s="1329"/>
      <c r="Q245" s="1329"/>
      <c r="R245" s="1329"/>
      <c r="S245" s="4" t="s">
        <v>206</v>
      </c>
      <c r="T245" s="4"/>
      <c r="U245" s="1416"/>
      <c r="V245" s="1416"/>
      <c r="W245" s="1416"/>
      <c r="X245" s="4" t="s">
        <v>89</v>
      </c>
      <c r="Z245" s="1329"/>
      <c r="AA245" s="1329"/>
      <c r="AB245" s="1329"/>
      <c r="AC245" s="1329"/>
      <c r="AD245" s="1329"/>
      <c r="AE245" s="1329"/>
      <c r="AU245" s="4"/>
      <c r="AV245" s="4"/>
      <c r="AW245" s="4"/>
      <c r="AX245" s="4"/>
      <c r="AY245" s="4"/>
      <c r="AZ245" s="4"/>
      <c r="BB245" s="204" t="s">
        <v>537</v>
      </c>
      <c r="BG245" s="241">
        <f>IF(AND(AND($M$258="nonprofit",$M$266="nonprofit",$M$274="(select one)")),1,0)</f>
        <v>0</v>
      </c>
    </row>
    <row r="246" spans="1:67" ht="12.95" customHeight="1">
      <c r="D246" s="4" t="s">
        <v>90</v>
      </c>
      <c r="E246" s="4"/>
      <c r="F246" s="4"/>
      <c r="M246" s="1453" t="s">
        <v>2665</v>
      </c>
      <c r="N246" s="1453"/>
      <c r="O246" s="1453"/>
      <c r="P246" s="1453"/>
      <c r="Q246" s="1453"/>
      <c r="R246" s="1453"/>
      <c r="S246" s="1453"/>
      <c r="T246" s="1453"/>
      <c r="U246" s="1453"/>
      <c r="V246" s="1453"/>
      <c r="W246" s="1453"/>
      <c r="X246" s="1453"/>
      <c r="Y246" s="1453"/>
      <c r="Z246" s="1453"/>
      <c r="AA246" s="1453"/>
      <c r="AB246" s="1453"/>
      <c r="AC246" s="1453"/>
      <c r="AD246" s="1453"/>
      <c r="AE246" s="1453"/>
      <c r="AF246" s="4"/>
      <c r="AG246" s="4"/>
      <c r="AH246" s="4"/>
      <c r="AI246" s="4"/>
      <c r="AJ246" s="4"/>
      <c r="AK246" s="4"/>
      <c r="AL246" s="4"/>
      <c r="AM246" s="4"/>
      <c r="AN246" s="4"/>
      <c r="AO246" s="4"/>
      <c r="AP246" s="4"/>
      <c r="AQ246" s="4"/>
      <c r="AR246" s="4"/>
      <c r="AS246" s="4"/>
      <c r="AT246" s="4"/>
      <c r="AU246" s="3"/>
      <c r="AV246" s="3"/>
      <c r="AW246" s="3"/>
      <c r="AX246" s="3"/>
      <c r="AY246" s="3"/>
      <c r="BB246" s="204" t="s">
        <v>537</v>
      </c>
      <c r="BG246" s="241">
        <f>IF(AND(AND($M$258="nonprofit",$M$266="nonprofit",$M$274="nonprofit")),1,0)</f>
        <v>0</v>
      </c>
    </row>
    <row r="247" spans="1:67" ht="12.95" customHeight="1">
      <c r="A247" s="2" t="s">
        <v>586</v>
      </c>
      <c r="C247" s="2" t="s">
        <v>525</v>
      </c>
      <c r="M247" s="1399" t="s">
        <v>528</v>
      </c>
      <c r="N247" s="1399"/>
      <c r="O247" s="1399"/>
      <c r="P247" s="1399"/>
      <c r="Q247" s="1399"/>
      <c r="R247" s="1399"/>
      <c r="S247" s="1399"/>
      <c r="T247" s="1399"/>
      <c r="U247" s="204" t="s">
        <v>906</v>
      </c>
      <c r="V247" s="204"/>
      <c r="W247" s="204"/>
      <c r="X247" s="204"/>
      <c r="Y247" s="204"/>
      <c r="Z247" s="204"/>
      <c r="AA247" s="1468"/>
      <c r="AB247" s="1468"/>
      <c r="AC247" s="1468"/>
      <c r="AD247" s="1468"/>
      <c r="AE247" s="1468"/>
      <c r="AF247" s="1468"/>
      <c r="AG247" s="1468"/>
      <c r="AH247" s="1468"/>
      <c r="AI247" s="1468"/>
      <c r="AJ247" s="1468"/>
      <c r="AK247" s="1468"/>
      <c r="AL247" s="3"/>
      <c r="AM247" s="3"/>
      <c r="AN247" s="3"/>
      <c r="AO247" s="3"/>
      <c r="AP247" s="3"/>
      <c r="AQ247" s="3"/>
      <c r="AR247" s="3"/>
      <c r="AS247" s="3"/>
      <c r="AT247" s="3"/>
      <c r="AU247" s="3"/>
      <c r="AV247" s="3"/>
      <c r="AW247" s="3"/>
      <c r="AX247" s="3"/>
      <c r="AY247" s="3"/>
      <c r="BB247" s="204" t="s">
        <v>537</v>
      </c>
      <c r="BG247" s="241">
        <f>IF(AND(AND($M$258="nonprofit",$M$266="(select one)",$M$274="(select one)")),1,0)</f>
        <v>0</v>
      </c>
    </row>
    <row r="248" spans="1:67" ht="12.95" customHeight="1">
      <c r="D248" t="s">
        <v>531</v>
      </c>
      <c r="M248" s="1359"/>
      <c r="N248" s="1359"/>
      <c r="O248" s="1359"/>
      <c r="P248" s="1359"/>
      <c r="Q248" s="1359"/>
      <c r="R248" s="1359"/>
      <c r="S248" s="1359"/>
      <c r="T248" s="1359"/>
      <c r="U248" s="1359"/>
      <c r="V248" s="1359"/>
      <c r="W248" s="1359"/>
      <c r="X248" s="1359"/>
      <c r="Y248" s="1359"/>
      <c r="Z248" s="1359"/>
      <c r="AA248" s="1359"/>
      <c r="AB248" s="1359"/>
      <c r="AC248" s="1359"/>
      <c r="AD248" s="1359"/>
      <c r="AE248" s="1359"/>
      <c r="AF248" s="4"/>
      <c r="AG248" s="4"/>
      <c r="AH248" s="4"/>
      <c r="AI248" s="4"/>
      <c r="AJ248" s="4"/>
      <c r="AK248" s="3"/>
      <c r="AL248" s="3"/>
      <c r="AM248" s="3"/>
      <c r="AN248" s="3"/>
      <c r="AO248" s="3"/>
      <c r="AP248" s="3"/>
      <c r="AQ248" s="3"/>
      <c r="AR248" s="3"/>
      <c r="AS248" s="3"/>
      <c r="AT248" s="3"/>
      <c r="BB248" s="204" t="s">
        <v>877</v>
      </c>
      <c r="BG248" s="241">
        <f>IF(AND(AND($M$258="for profit",$M$266="for profit",$M$274="(select one)")),3,0)</f>
        <v>0</v>
      </c>
    </row>
    <row r="249" spans="1:67" ht="12.95" customHeight="1">
      <c r="D249" s="4"/>
      <c r="BB249" s="204" t="s">
        <v>877</v>
      </c>
      <c r="BG249" s="241">
        <f>IF(AND(AND($M$258="for profit",$M$266="for profit",$M$274="for profit")),3,0)</f>
        <v>0</v>
      </c>
    </row>
    <row r="250" spans="1:67" ht="12.95" customHeight="1">
      <c r="A250" s="2" t="s">
        <v>589</v>
      </c>
      <c r="C250" s="2" t="s">
        <v>1183</v>
      </c>
      <c r="D250" s="4"/>
      <c r="L250" s="8"/>
      <c r="M250" s="8"/>
      <c r="N250" s="8"/>
      <c r="AU250" s="3"/>
      <c r="AV250" s="3"/>
      <c r="AW250" s="3"/>
      <c r="AX250" s="3"/>
      <c r="AY250" s="3"/>
      <c r="BB250" s="204" t="s">
        <v>877</v>
      </c>
      <c r="BG250" s="241">
        <f>IF(AND(AND($M$258="for profit",$M$266="(select one)",$M$274="(select one)")),3,0)</f>
        <v>0</v>
      </c>
    </row>
    <row r="251" spans="1:67" ht="12.95" customHeight="1">
      <c r="D251" s="4"/>
      <c r="L251" s="8"/>
      <c r="M251" s="8"/>
      <c r="N251" s="8"/>
      <c r="O251" s="8"/>
      <c r="P251" s="8"/>
      <c r="Q251" s="8"/>
      <c r="R251" s="8"/>
      <c r="S251" s="8"/>
      <c r="T251" s="8"/>
      <c r="U251" s="8"/>
      <c r="V251" s="8"/>
      <c r="W251" s="8"/>
      <c r="X251" s="8"/>
      <c r="Y251" s="8"/>
      <c r="Z251" s="8"/>
      <c r="AA251" s="8"/>
      <c r="AB251" s="8"/>
      <c r="AC251" s="8"/>
      <c r="AD251" s="8"/>
      <c r="AE251" s="4"/>
      <c r="AF251" s="4"/>
      <c r="AG251" s="4"/>
      <c r="AH251" s="4"/>
      <c r="AI251" s="4"/>
      <c r="AJ251" s="4"/>
      <c r="AK251" s="3"/>
      <c r="AL251" s="3"/>
      <c r="AM251" s="3"/>
      <c r="AN251" s="3"/>
      <c r="AO251" s="3"/>
      <c r="AP251" s="3"/>
      <c r="AQ251" s="3"/>
      <c r="AR251" s="3"/>
      <c r="AS251" s="3"/>
      <c r="AT251" s="3"/>
      <c r="BO251" s="34"/>
    </row>
    <row r="252" spans="1:67" ht="12.95" customHeight="1">
      <c r="A252" s="19"/>
      <c r="B252" s="4"/>
      <c r="C252" s="56" t="s">
        <v>473</v>
      </c>
      <c r="D252" s="4" t="s">
        <v>532</v>
      </c>
      <c r="E252" s="4"/>
      <c r="F252" s="4"/>
      <c r="G252" s="4"/>
      <c r="H252" s="4"/>
      <c r="I252" s="4"/>
      <c r="J252" s="4"/>
      <c r="K252" s="4"/>
      <c r="L252" s="4"/>
      <c r="M252" s="1482" t="s">
        <v>2646</v>
      </c>
      <c r="N252" s="1466"/>
      <c r="O252" s="1466"/>
      <c r="P252" s="1466"/>
      <c r="Q252" s="1466"/>
      <c r="R252" s="1466"/>
      <c r="S252" s="1466"/>
      <c r="T252" s="1466"/>
      <c r="U252" s="1466"/>
      <c r="V252" s="1466"/>
      <c r="W252" s="1466"/>
      <c r="X252" s="1466"/>
      <c r="Y252" s="1466"/>
      <c r="Z252" s="1466"/>
      <c r="AA252" s="1466"/>
      <c r="AB252" s="1466"/>
      <c r="AC252" s="1466"/>
      <c r="AD252" s="1466"/>
      <c r="AE252" s="1466"/>
      <c r="AF252" s="1466" t="s">
        <v>2650</v>
      </c>
      <c r="AG252" s="1466"/>
      <c r="AH252" s="1466"/>
      <c r="AI252" s="1466"/>
      <c r="AJ252" s="1466"/>
      <c r="AK252" s="1466"/>
      <c r="AU252" s="4"/>
      <c r="AV252" s="4"/>
      <c r="AW252" s="4"/>
      <c r="AX252" s="4"/>
      <c r="AY252" s="4"/>
      <c r="BG252">
        <f>SUM(BG235:BG250)</f>
        <v>2</v>
      </c>
    </row>
    <row r="253" spans="1:67" ht="12.95" customHeight="1">
      <c r="A253" s="19"/>
      <c r="B253" s="4"/>
      <c r="C253" s="4"/>
      <c r="D253" s="4" t="s">
        <v>85</v>
      </c>
      <c r="E253" s="4"/>
      <c r="F253" s="4"/>
      <c r="G253" s="4"/>
      <c r="H253" s="4"/>
      <c r="I253" s="4"/>
      <c r="J253" s="4"/>
      <c r="K253" s="4"/>
      <c r="L253" s="4"/>
      <c r="M253" s="1358" t="s">
        <v>2647</v>
      </c>
      <c r="N253" s="1440"/>
      <c r="O253" s="1440"/>
      <c r="P253" s="1440"/>
      <c r="Q253" s="1440"/>
      <c r="R253" s="1440"/>
      <c r="S253" s="1440"/>
      <c r="T253" s="1440"/>
      <c r="U253" s="1440"/>
      <c r="V253" s="1440"/>
      <c r="W253" s="1440"/>
      <c r="X253" s="1440"/>
      <c r="Y253" s="1440"/>
      <c r="Z253" s="1440"/>
      <c r="AA253" s="1440"/>
      <c r="AB253" s="1440"/>
      <c r="AC253" s="1440"/>
      <c r="AD253" s="1440"/>
      <c r="AE253" s="1440"/>
      <c r="AF253" s="3" t="s">
        <v>1179</v>
      </c>
      <c r="AL253" s="4"/>
      <c r="AM253" s="4"/>
      <c r="AN253" s="4"/>
      <c r="AO253" s="4"/>
      <c r="AP253" s="4"/>
      <c r="AQ253" s="4"/>
      <c r="AR253" s="4"/>
      <c r="AS253" s="4"/>
      <c r="AT253" s="4"/>
      <c r="BB253" t="s">
        <v>307</v>
      </c>
      <c r="BG253">
        <v>1</v>
      </c>
      <c r="BH253" t="s">
        <v>534</v>
      </c>
    </row>
    <row r="254" spans="1:67" ht="12.95" customHeight="1">
      <c r="A254" s="19"/>
      <c r="B254" s="4"/>
      <c r="C254" s="4"/>
      <c r="D254" s="4" t="s">
        <v>580</v>
      </c>
      <c r="E254" s="4"/>
      <c r="M254" s="1358" t="s">
        <v>2648</v>
      </c>
      <c r="N254" s="1440"/>
      <c r="O254" s="1440"/>
      <c r="P254" s="1440"/>
      <c r="Q254" s="1440"/>
      <c r="R254" s="1440"/>
      <c r="S254" s="1440"/>
      <c r="T254" s="1440"/>
      <c r="V254" s="33" t="s">
        <v>86</v>
      </c>
      <c r="W254" s="1441" t="s">
        <v>2649</v>
      </c>
      <c r="X254" s="1416"/>
      <c r="Y254" s="4" t="s">
        <v>583</v>
      </c>
      <c r="AC254" s="1440">
        <v>95521</v>
      </c>
      <c r="AD254" s="1440"/>
      <c r="AE254" s="1440"/>
      <c r="AF254" s="3" t="s">
        <v>1180</v>
      </c>
      <c r="AU254" s="4"/>
      <c r="AV254" s="4"/>
      <c r="AW254" s="4"/>
      <c r="AX254" s="4"/>
      <c r="AY254" s="4"/>
      <c r="BB254" s="4" t="s">
        <v>280</v>
      </c>
      <c r="BG254">
        <v>2</v>
      </c>
      <c r="BH254" t="s">
        <v>566</v>
      </c>
      <c r="BO254" s="239" t="str">
        <f>VLOOKUP(BG252,BG253:BH256,2,FALSE)</f>
        <v>Joint Venture</v>
      </c>
    </row>
    <row r="255" spans="1:67" ht="12.95" customHeight="1">
      <c r="A255" s="19"/>
      <c r="B255" s="4"/>
      <c r="C255" s="4"/>
      <c r="D255" s="4" t="s">
        <v>87</v>
      </c>
      <c r="E255" s="4"/>
      <c r="F255" s="4"/>
      <c r="G255" s="4"/>
      <c r="H255" s="4"/>
      <c r="I255" s="4"/>
      <c r="J255" s="4"/>
      <c r="K255" s="4"/>
      <c r="L255" s="19"/>
      <c r="M255" s="1358" t="s">
        <v>2663</v>
      </c>
      <c r="N255" s="1440"/>
      <c r="O255" s="1440"/>
      <c r="P255" s="1440"/>
      <c r="Q255" s="1440"/>
      <c r="R255" s="1440"/>
      <c r="S255" s="1440"/>
      <c r="T255" s="1440"/>
      <c r="U255" s="1440"/>
      <c r="V255" s="1440"/>
      <c r="W255" s="1440"/>
      <c r="X255" s="1440"/>
      <c r="Y255" s="1440"/>
      <c r="Z255" s="1440"/>
      <c r="AA255" s="1440"/>
      <c r="AB255" s="1440"/>
      <c r="AC255" s="1440"/>
      <c r="AD255" s="1440"/>
      <c r="AE255" s="1440"/>
      <c r="AH255" s="1463">
        <v>0.09</v>
      </c>
      <c r="AI255" s="1463"/>
      <c r="AJ255" s="1463"/>
      <c r="AK255" s="1463"/>
      <c r="AL255" s="4"/>
      <c r="AM255" s="4"/>
      <c r="AN255" s="4"/>
      <c r="AO255" s="4"/>
      <c r="AP255" s="4"/>
      <c r="AQ255" s="4"/>
      <c r="AR255" s="4"/>
      <c r="AS255" s="4"/>
      <c r="AT255" s="4"/>
      <c r="BB255" s="4" t="s">
        <v>173</v>
      </c>
      <c r="BG255">
        <v>3</v>
      </c>
      <c r="BH255" t="s">
        <v>536</v>
      </c>
      <c r="BN255" s="34"/>
    </row>
    <row r="256" spans="1:67" ht="12.95" customHeight="1">
      <c r="A256" s="19"/>
      <c r="B256" s="4"/>
      <c r="C256" s="4"/>
      <c r="D256" s="4" t="s">
        <v>88</v>
      </c>
      <c r="E256" s="4"/>
      <c r="F256" s="4"/>
      <c r="M256" s="1328" t="s">
        <v>2664</v>
      </c>
      <c r="N256" s="1329"/>
      <c r="O256" s="1329"/>
      <c r="P256" s="1329"/>
      <c r="Q256" s="1329"/>
      <c r="R256" s="1329"/>
      <c r="S256" s="4" t="s">
        <v>206</v>
      </c>
      <c r="T256" s="4"/>
      <c r="U256" s="1416"/>
      <c r="V256" s="1416"/>
      <c r="W256" s="1416"/>
      <c r="X256" s="4" t="s">
        <v>89</v>
      </c>
      <c r="Z256" s="1329"/>
      <c r="AA256" s="1329"/>
      <c r="AB256" s="1329"/>
      <c r="AC256" s="1329"/>
      <c r="AD256" s="1329"/>
      <c r="AE256" s="1329"/>
      <c r="AU256" s="4"/>
      <c r="AV256" s="4"/>
      <c r="AW256" s="4"/>
      <c r="AX256" s="4"/>
      <c r="AY256" s="4"/>
      <c r="BG256">
        <v>0</v>
      </c>
      <c r="BH256" s="3" t="str">
        <f>""</f>
        <v/>
      </c>
      <c r="BN256" s="34"/>
    </row>
    <row r="257" spans="1:66" ht="12.95" customHeight="1">
      <c r="A257" s="19"/>
      <c r="B257" s="4"/>
      <c r="C257" s="4"/>
      <c r="D257" s="4" t="s">
        <v>90</v>
      </c>
      <c r="E257" s="4"/>
      <c r="F257" s="4"/>
      <c r="M257" s="1453" t="s">
        <v>2665</v>
      </c>
      <c r="N257" s="1453"/>
      <c r="O257" s="1453"/>
      <c r="P257" s="1453"/>
      <c r="Q257" s="1453"/>
      <c r="R257" s="1453"/>
      <c r="S257" s="1453"/>
      <c r="T257" s="1453"/>
      <c r="U257" s="1453"/>
      <c r="V257" s="1453"/>
      <c r="W257" s="1453"/>
      <c r="X257" s="1453"/>
      <c r="Y257" s="1453"/>
      <c r="Z257" s="1453"/>
      <c r="AA257" s="1453"/>
      <c r="AB257" s="1453"/>
      <c r="AC257" s="1453"/>
      <c r="AD257" s="1453"/>
      <c r="AE257" s="1453"/>
      <c r="AG257" s="4"/>
      <c r="AH257" s="4"/>
      <c r="AI257" s="4"/>
      <c r="AJ257" s="4"/>
      <c r="AK257" s="4"/>
      <c r="AL257" s="4"/>
      <c r="AM257" s="4"/>
      <c r="AN257" s="4"/>
      <c r="AO257" s="4"/>
      <c r="AP257" s="4"/>
      <c r="AQ257" s="4"/>
      <c r="AR257" s="4"/>
      <c r="AS257" s="4"/>
      <c r="AT257" s="4"/>
      <c r="BN257" s="34"/>
    </row>
    <row r="258" spans="1:66" ht="12.95" customHeight="1">
      <c r="A258" s="13"/>
      <c r="B258" s="4"/>
      <c r="C258" s="56"/>
      <c r="D258" s="4" t="s">
        <v>535</v>
      </c>
      <c r="E258" s="4"/>
      <c r="F258" s="4"/>
      <c r="G258" s="4"/>
      <c r="H258" s="4"/>
      <c r="I258" s="4"/>
      <c r="J258" s="4"/>
      <c r="K258" s="4"/>
      <c r="L258" s="4"/>
      <c r="M258" s="1399" t="s">
        <v>536</v>
      </c>
      <c r="N258" s="1399"/>
      <c r="O258" s="1399"/>
      <c r="P258" s="1399"/>
      <c r="Q258" s="1399"/>
      <c r="R258" s="1399"/>
      <c r="S258" s="1399"/>
      <c r="T258" s="1399"/>
      <c r="U258" s="204" t="s">
        <v>906</v>
      </c>
      <c r="V258" s="204"/>
      <c r="W258" s="204"/>
      <c r="X258" s="204"/>
      <c r="Y258" s="204"/>
      <c r="Z258" s="204"/>
      <c r="AA258" s="1467" t="s">
        <v>2666</v>
      </c>
      <c r="AB258" s="1468"/>
      <c r="AC258" s="1468"/>
      <c r="AD258" s="1468"/>
      <c r="AE258" s="1468"/>
      <c r="AF258" s="1468"/>
      <c r="AG258" s="1468"/>
      <c r="AH258" s="1468"/>
      <c r="AI258" s="1468"/>
      <c r="AJ258" s="1468"/>
      <c r="AK258" s="1468"/>
      <c r="BN258" s="34"/>
    </row>
    <row r="259" spans="1:66" ht="12.95" customHeight="1">
      <c r="A259" s="19"/>
      <c r="B259" s="4"/>
      <c r="C259" s="4"/>
      <c r="D259" s="4"/>
      <c r="E259" s="4"/>
      <c r="F259" s="4"/>
      <c r="G259" s="4"/>
      <c r="H259" s="4"/>
      <c r="I259" s="4"/>
      <c r="J259" s="4"/>
      <c r="K259" s="4"/>
      <c r="L259" s="4"/>
      <c r="AG259" s="4"/>
      <c r="AH259" s="4"/>
      <c r="AI259" s="4"/>
      <c r="AJ259" s="4"/>
      <c r="BN259" s="34"/>
    </row>
    <row r="260" spans="1:66" ht="12.95" customHeight="1">
      <c r="A260" s="2"/>
      <c r="B260" s="4"/>
      <c r="C260" s="56" t="s">
        <v>98</v>
      </c>
      <c r="D260" s="4" t="s">
        <v>955</v>
      </c>
      <c r="E260" s="4"/>
      <c r="F260" s="4"/>
      <c r="G260" s="4"/>
      <c r="H260" s="4"/>
      <c r="I260" s="4"/>
      <c r="J260" s="4"/>
      <c r="K260" s="4"/>
      <c r="L260" s="4"/>
      <c r="M260" s="1482" t="s">
        <v>2667</v>
      </c>
      <c r="N260" s="1466"/>
      <c r="O260" s="1466"/>
      <c r="P260" s="1466"/>
      <c r="Q260" s="1466"/>
      <c r="R260" s="1466"/>
      <c r="S260" s="1466"/>
      <c r="T260" s="1466"/>
      <c r="U260" s="1466"/>
      <c r="V260" s="1466"/>
      <c r="W260" s="1466"/>
      <c r="X260" s="1466"/>
      <c r="Y260" s="1466"/>
      <c r="Z260" s="1466"/>
      <c r="AA260" s="1466"/>
      <c r="AB260" s="1466"/>
      <c r="AC260" s="1466"/>
      <c r="AD260" s="1466"/>
      <c r="AE260" s="1466"/>
      <c r="AF260" s="1466" t="s">
        <v>307</v>
      </c>
      <c r="AG260" s="1466"/>
      <c r="AH260" s="1466"/>
      <c r="AI260" s="1466"/>
      <c r="AJ260" s="1466"/>
      <c r="AK260" s="1466"/>
      <c r="AU260" s="4"/>
      <c r="AV260" s="4"/>
      <c r="AW260" s="4"/>
      <c r="AX260" s="4"/>
      <c r="AY260" s="4"/>
      <c r="BN260" s="34"/>
    </row>
    <row r="261" spans="1:66" ht="12.95" customHeight="1">
      <c r="A261" s="19"/>
      <c r="B261" s="4"/>
      <c r="C261" s="4"/>
      <c r="D261" s="4" t="s">
        <v>85</v>
      </c>
      <c r="E261" s="4"/>
      <c r="F261" s="4"/>
      <c r="G261" s="4"/>
      <c r="H261" s="4"/>
      <c r="I261" s="4"/>
      <c r="J261" s="4"/>
      <c r="K261" s="4"/>
      <c r="L261" s="4"/>
      <c r="M261" s="1358" t="s">
        <v>2668</v>
      </c>
      <c r="N261" s="1440"/>
      <c r="O261" s="1440"/>
      <c r="P261" s="1440"/>
      <c r="Q261" s="1440"/>
      <c r="R261" s="1440"/>
      <c r="S261" s="1440"/>
      <c r="T261" s="1440"/>
      <c r="U261" s="1440"/>
      <c r="V261" s="1440"/>
      <c r="W261" s="1440"/>
      <c r="X261" s="1440"/>
      <c r="Y261" s="1440"/>
      <c r="Z261" s="1440"/>
      <c r="AA261" s="1440"/>
      <c r="AB261" s="1440"/>
      <c r="AC261" s="1440"/>
      <c r="AD261" s="1440"/>
      <c r="AE261" s="1440"/>
      <c r="AF261" s="3" t="s">
        <v>1179</v>
      </c>
      <c r="AL261" s="4"/>
      <c r="AM261" s="4"/>
      <c r="AN261" s="4"/>
      <c r="AO261" s="4"/>
      <c r="AP261" s="4"/>
      <c r="AQ261" s="4"/>
      <c r="AR261" s="4"/>
      <c r="AS261" s="4"/>
      <c r="AT261" s="4"/>
      <c r="BN261" s="34"/>
    </row>
    <row r="262" spans="1:66" ht="12.95" customHeight="1">
      <c r="A262" s="19"/>
      <c r="B262" s="4"/>
      <c r="C262" s="4"/>
      <c r="D262" s="4" t="s">
        <v>580</v>
      </c>
      <c r="E262" s="4"/>
      <c r="M262" s="1358" t="s">
        <v>2669</v>
      </c>
      <c r="N262" s="1440"/>
      <c r="O262" s="1440"/>
      <c r="P262" s="1440"/>
      <c r="Q262" s="1440"/>
      <c r="R262" s="1440"/>
      <c r="S262" s="1440"/>
      <c r="T262" s="1440"/>
      <c r="V262" s="33" t="s">
        <v>86</v>
      </c>
      <c r="W262" s="1441" t="s">
        <v>2649</v>
      </c>
      <c r="X262" s="1416"/>
      <c r="Y262" s="4" t="s">
        <v>583</v>
      </c>
      <c r="AC262" s="1440">
        <v>96001</v>
      </c>
      <c r="AD262" s="1440"/>
      <c r="AE262" s="1440"/>
      <c r="AF262" s="3" t="s">
        <v>1180</v>
      </c>
      <c r="AU262" s="4"/>
      <c r="AV262" s="4"/>
      <c r="AW262" s="4"/>
      <c r="AX262" s="4"/>
      <c r="AY262" s="4"/>
      <c r="BN262" s="34"/>
    </row>
    <row r="263" spans="1:66" ht="12.95" customHeight="1">
      <c r="A263" s="19"/>
      <c r="B263" s="4"/>
      <c r="C263" s="4"/>
      <c r="D263" s="4" t="s">
        <v>87</v>
      </c>
      <c r="E263" s="4"/>
      <c r="F263" s="4"/>
      <c r="G263" s="4"/>
      <c r="H263" s="4"/>
      <c r="I263" s="4"/>
      <c r="J263" s="4"/>
      <c r="K263" s="4"/>
      <c r="L263" s="19"/>
      <c r="M263" s="1358" t="s">
        <v>2670</v>
      </c>
      <c r="N263" s="1440"/>
      <c r="O263" s="1440"/>
      <c r="P263" s="1440"/>
      <c r="Q263" s="1440"/>
      <c r="R263" s="1440"/>
      <c r="S263" s="1440"/>
      <c r="T263" s="1440"/>
      <c r="U263" s="1440"/>
      <c r="V263" s="1440"/>
      <c r="W263" s="1440"/>
      <c r="X263" s="1440"/>
      <c r="Y263" s="1440"/>
      <c r="Z263" s="1440"/>
      <c r="AA263" s="1440"/>
      <c r="AB263" s="1440"/>
      <c r="AC263" s="1440"/>
      <c r="AD263" s="1440"/>
      <c r="AE263" s="1440"/>
      <c r="AH263" s="1463">
        <v>0.01</v>
      </c>
      <c r="AI263" s="1463"/>
      <c r="AJ263" s="1463"/>
      <c r="AK263" s="1463"/>
      <c r="AL263" s="4"/>
      <c r="AM263" s="4"/>
      <c r="AN263" s="4"/>
      <c r="AO263" s="4"/>
      <c r="AP263" s="4"/>
      <c r="AQ263" s="4"/>
      <c r="AR263" s="4"/>
      <c r="AS263" s="4"/>
      <c r="AT263" s="4"/>
    </row>
    <row r="264" spans="1:66" ht="12.95" customHeight="1">
      <c r="A264" s="19"/>
      <c r="B264" s="4"/>
      <c r="C264" s="4"/>
      <c r="D264" s="4" t="s">
        <v>88</v>
      </c>
      <c r="E264" s="4"/>
      <c r="F264" s="4"/>
      <c r="M264" s="1328" t="s">
        <v>2671</v>
      </c>
      <c r="N264" s="1329"/>
      <c r="O264" s="1329"/>
      <c r="P264" s="1329"/>
      <c r="Q264" s="1329"/>
      <c r="R264" s="1329"/>
      <c r="S264" s="4" t="s">
        <v>206</v>
      </c>
      <c r="T264" s="4"/>
      <c r="U264" s="1416"/>
      <c r="V264" s="1416"/>
      <c r="W264" s="1416"/>
      <c r="X264" s="4" t="s">
        <v>89</v>
      </c>
      <c r="Z264" s="1329"/>
      <c r="AA264" s="1329"/>
      <c r="AB264" s="1329"/>
      <c r="AC264" s="1329"/>
      <c r="AD264" s="1329"/>
      <c r="AE264" s="1329"/>
      <c r="AU264" s="4"/>
      <c r="AV264" s="4"/>
      <c r="AW264" s="4"/>
      <c r="AX264" s="4"/>
      <c r="AY264" s="4"/>
      <c r="BN264" s="34"/>
    </row>
    <row r="265" spans="1:66" ht="12.95" customHeight="1">
      <c r="A265" s="19"/>
      <c r="B265" s="4"/>
      <c r="C265" s="4"/>
      <c r="D265" s="4" t="s">
        <v>90</v>
      </c>
      <c r="E265" s="4"/>
      <c r="F265" s="4"/>
      <c r="M265" s="1453" t="s">
        <v>2672</v>
      </c>
      <c r="N265" s="1453"/>
      <c r="O265" s="1453"/>
      <c r="P265" s="1453"/>
      <c r="Q265" s="1453"/>
      <c r="R265" s="1453"/>
      <c r="S265" s="1453"/>
      <c r="T265" s="1453"/>
      <c r="U265" s="1453"/>
      <c r="V265" s="1453"/>
      <c r="W265" s="1453"/>
      <c r="X265" s="1453"/>
      <c r="Y265" s="1453"/>
      <c r="Z265" s="1453"/>
      <c r="AA265" s="1453"/>
      <c r="AB265" s="1453"/>
      <c r="AC265" s="1453"/>
      <c r="AD265" s="1453"/>
      <c r="AE265" s="1453"/>
      <c r="AG265" s="4"/>
      <c r="AH265" s="4"/>
      <c r="AI265" s="4"/>
      <c r="AJ265" s="4"/>
      <c r="AK265" s="4"/>
      <c r="AL265" s="4"/>
      <c r="AM265" s="4"/>
      <c r="AN265" s="4"/>
      <c r="AO265" s="4"/>
      <c r="AP265" s="4"/>
      <c r="AQ265" s="4"/>
      <c r="AR265" s="4"/>
      <c r="AS265" s="4"/>
      <c r="AT265" s="4"/>
      <c r="AU265" s="3"/>
      <c r="AV265" s="3"/>
      <c r="AW265" s="3"/>
      <c r="AX265" s="3"/>
      <c r="AY265" s="3"/>
      <c r="BN265" s="34"/>
    </row>
    <row r="266" spans="1:66" ht="12.95" customHeight="1">
      <c r="A266" s="13"/>
      <c r="B266" s="4"/>
      <c r="C266" s="56"/>
      <c r="D266" s="4" t="s">
        <v>535</v>
      </c>
      <c r="E266" s="4"/>
      <c r="F266" s="4"/>
      <c r="G266" s="4"/>
      <c r="H266" s="4"/>
      <c r="I266" s="4"/>
      <c r="J266" s="4"/>
      <c r="K266" s="4"/>
      <c r="L266" s="4"/>
      <c r="M266" s="1399" t="s">
        <v>534</v>
      </c>
      <c r="N266" s="1399"/>
      <c r="O266" s="1399"/>
      <c r="P266" s="1399"/>
      <c r="Q266" s="1399"/>
      <c r="R266" s="1399"/>
      <c r="S266" s="1399"/>
      <c r="T266" s="1399"/>
      <c r="U266" s="204" t="s">
        <v>906</v>
      </c>
      <c r="V266" s="204"/>
      <c r="W266" s="204"/>
      <c r="X266" s="204"/>
      <c r="Y266" s="204"/>
      <c r="Z266" s="204"/>
      <c r="AA266" s="1468"/>
      <c r="AB266" s="1468"/>
      <c r="AC266" s="1468"/>
      <c r="AD266" s="1468"/>
      <c r="AE266" s="1468"/>
      <c r="AF266" s="1468"/>
      <c r="AG266" s="1468"/>
      <c r="AH266" s="1468"/>
      <c r="AI266" s="1468"/>
      <c r="AJ266" s="1468"/>
      <c r="AK266" s="1468"/>
      <c r="AL266" s="3"/>
      <c r="AM266" s="3"/>
      <c r="AN266" s="3"/>
      <c r="AO266" s="3"/>
      <c r="AP266" s="3"/>
      <c r="AQ266" s="3"/>
      <c r="AR266" s="3"/>
      <c r="AS266" s="3"/>
      <c r="AT266" s="3"/>
      <c r="AU266" s="3"/>
      <c r="AV266" s="3"/>
      <c r="AW266" s="3"/>
      <c r="AX266" s="3"/>
      <c r="AY266" s="3"/>
    </row>
    <row r="267" spans="1:66" ht="12.95" customHeight="1">
      <c r="A267" s="13"/>
      <c r="B267" s="4"/>
      <c r="C267" s="56"/>
      <c r="D267" s="4"/>
      <c r="E267" s="4"/>
      <c r="F267" s="4"/>
      <c r="G267" s="4"/>
      <c r="H267" s="4"/>
      <c r="I267" s="4"/>
      <c r="J267" s="4"/>
      <c r="K267" s="4"/>
      <c r="L267" s="4"/>
      <c r="M267" s="8"/>
      <c r="N267" s="8"/>
      <c r="O267" s="8"/>
      <c r="P267" s="8"/>
      <c r="Q267" s="8"/>
      <c r="R267" s="8"/>
      <c r="S267" s="8"/>
      <c r="T267" s="8"/>
      <c r="U267" s="118"/>
      <c r="V267" s="118"/>
      <c r="W267" s="118"/>
      <c r="X267" s="118"/>
      <c r="Y267" s="118"/>
      <c r="Z267" s="118"/>
      <c r="AA267" s="118"/>
      <c r="AB267" s="118"/>
      <c r="AC267" s="118"/>
      <c r="AD267" s="118"/>
      <c r="AE267" s="4"/>
      <c r="AF267" s="4"/>
      <c r="AG267" s="4"/>
      <c r="AH267" s="4"/>
      <c r="AI267" s="4"/>
      <c r="AJ267" s="4"/>
      <c r="AK267" s="4"/>
      <c r="AL267" s="3"/>
      <c r="AM267" s="3"/>
      <c r="AN267" s="3"/>
      <c r="AO267" s="3"/>
      <c r="AP267" s="3"/>
      <c r="AQ267" s="3"/>
      <c r="AR267" s="3"/>
      <c r="AS267" s="3"/>
      <c r="AT267" s="3"/>
      <c r="AU267" s="3"/>
      <c r="AV267" s="3"/>
      <c r="AW267" s="3"/>
      <c r="AX267" s="3"/>
      <c r="AY267" s="3"/>
    </row>
    <row r="268" spans="1:66" ht="12.95" customHeight="1">
      <c r="A268" s="13"/>
      <c r="B268" s="4"/>
      <c r="C268" s="56" t="s">
        <v>876</v>
      </c>
      <c r="D268" s="4" t="s">
        <v>532</v>
      </c>
      <c r="E268" s="4"/>
      <c r="F268" s="4"/>
      <c r="G268" s="4"/>
      <c r="H268" s="4"/>
      <c r="I268" s="4"/>
      <c r="J268" s="4"/>
      <c r="K268" s="4"/>
      <c r="L268" s="4"/>
      <c r="M268" s="1466"/>
      <c r="N268" s="1466"/>
      <c r="O268" s="1466"/>
      <c r="P268" s="1466"/>
      <c r="Q268" s="1466"/>
      <c r="R268" s="1466"/>
      <c r="S268" s="1466"/>
      <c r="T268" s="1466"/>
      <c r="U268" s="1466"/>
      <c r="V268" s="1466"/>
      <c r="W268" s="1466"/>
      <c r="X268" s="1466"/>
      <c r="Y268" s="1466"/>
      <c r="Z268" s="1466"/>
      <c r="AA268" s="1466"/>
      <c r="AB268" s="1466"/>
      <c r="AC268" s="1466"/>
      <c r="AD268" s="1466"/>
      <c r="AE268" s="1466"/>
      <c r="AF268" s="1466" t="s">
        <v>307</v>
      </c>
      <c r="AG268" s="1466"/>
      <c r="AH268" s="1466"/>
      <c r="AI268" s="1466"/>
      <c r="AJ268" s="1466"/>
      <c r="AK268" s="1466"/>
      <c r="AL268" s="3"/>
      <c r="AM268" s="3"/>
      <c r="AN268" s="3"/>
      <c r="AO268" s="3"/>
      <c r="AP268" s="3"/>
      <c r="AQ268" s="3"/>
      <c r="AR268" s="3"/>
      <c r="AS268" s="3"/>
      <c r="AT268" s="3"/>
      <c r="AU268" s="3"/>
      <c r="AV268" s="3"/>
      <c r="AW268" s="3"/>
      <c r="AX268" s="3"/>
      <c r="AY268" s="3"/>
    </row>
    <row r="269" spans="1:66" ht="12.95" customHeight="1">
      <c r="A269" s="13"/>
      <c r="B269" s="4"/>
      <c r="C269" s="4"/>
      <c r="D269" s="4" t="s">
        <v>85</v>
      </c>
      <c r="E269" s="4"/>
      <c r="F269" s="4"/>
      <c r="G269" s="4"/>
      <c r="H269" s="4"/>
      <c r="I269" s="4"/>
      <c r="J269" s="4"/>
      <c r="K269" s="4"/>
      <c r="L269" s="4"/>
      <c r="M269" s="1440"/>
      <c r="N269" s="1440"/>
      <c r="O269" s="1440"/>
      <c r="P269" s="1440"/>
      <c r="Q269" s="1440"/>
      <c r="R269" s="1440"/>
      <c r="S269" s="1440"/>
      <c r="T269" s="1440"/>
      <c r="U269" s="1440"/>
      <c r="V269" s="1440"/>
      <c r="W269" s="1440"/>
      <c r="X269" s="1440"/>
      <c r="Y269" s="1440"/>
      <c r="Z269" s="1440"/>
      <c r="AA269" s="1440"/>
      <c r="AB269" s="1440"/>
      <c r="AC269" s="1440"/>
      <c r="AD269" s="1440"/>
      <c r="AE269" s="1440"/>
      <c r="AF269" s="3" t="s">
        <v>1179</v>
      </c>
      <c r="AL269" s="3"/>
      <c r="AM269" s="3"/>
      <c r="AN269" s="3"/>
      <c r="AO269" s="3"/>
      <c r="AP269" s="3"/>
      <c r="AQ269" s="3"/>
      <c r="AR269" s="3"/>
      <c r="AS269" s="3"/>
      <c r="AT269" s="3"/>
      <c r="AU269" s="3"/>
      <c r="AV269" s="3"/>
      <c r="AW269" s="3"/>
      <c r="AX269" s="3"/>
      <c r="AY269" s="3"/>
    </row>
    <row r="270" spans="1:66" ht="12.95" customHeight="1">
      <c r="A270" s="13"/>
      <c r="B270" s="4"/>
      <c r="C270" s="4"/>
      <c r="D270" s="4" t="s">
        <v>580</v>
      </c>
      <c r="E270" s="4"/>
      <c r="M270" s="1440"/>
      <c r="N270" s="1440"/>
      <c r="O270" s="1440"/>
      <c r="P270" s="1440"/>
      <c r="Q270" s="1440"/>
      <c r="R270" s="1440"/>
      <c r="S270" s="1440"/>
      <c r="T270" s="1440"/>
      <c r="V270" s="33" t="s">
        <v>86</v>
      </c>
      <c r="W270" s="1416"/>
      <c r="X270" s="1416"/>
      <c r="Y270" s="4" t="s">
        <v>583</v>
      </c>
      <c r="AC270" s="1440"/>
      <c r="AD270" s="1440"/>
      <c r="AE270" s="1440"/>
      <c r="AF270" s="3" t="s">
        <v>1180</v>
      </c>
      <c r="AL270" s="3"/>
      <c r="AM270" s="3"/>
      <c r="AN270" s="3"/>
      <c r="AO270" s="3"/>
      <c r="AP270" s="3"/>
      <c r="AQ270" s="3"/>
      <c r="AR270" s="3"/>
      <c r="AS270" s="3"/>
      <c r="AT270" s="3"/>
      <c r="AU270" s="3"/>
      <c r="AV270" s="3"/>
      <c r="AW270" s="3"/>
      <c r="AX270" s="3"/>
      <c r="AY270" s="3"/>
    </row>
    <row r="271" spans="1:66" ht="12.95" customHeight="1">
      <c r="A271" s="13"/>
      <c r="B271" s="4"/>
      <c r="C271" s="4"/>
      <c r="D271" s="4" t="s">
        <v>87</v>
      </c>
      <c r="E271" s="4"/>
      <c r="F271" s="4"/>
      <c r="G271" s="4"/>
      <c r="H271" s="4"/>
      <c r="I271" s="4"/>
      <c r="J271" s="4"/>
      <c r="K271" s="4"/>
      <c r="L271" s="19"/>
      <c r="M271" s="1440"/>
      <c r="N271" s="1440"/>
      <c r="O271" s="1440"/>
      <c r="P271" s="1440"/>
      <c r="Q271" s="1440"/>
      <c r="R271" s="1440"/>
      <c r="S271" s="1440"/>
      <c r="T271" s="1440"/>
      <c r="U271" s="1440"/>
      <c r="V271" s="1440"/>
      <c r="W271" s="1440"/>
      <c r="X271" s="1440"/>
      <c r="Y271" s="1440"/>
      <c r="Z271" s="1440"/>
      <c r="AA271" s="1440"/>
      <c r="AB271" s="1440"/>
      <c r="AC271" s="1440"/>
      <c r="AD271" s="1440"/>
      <c r="AE271" s="1440"/>
      <c r="AH271" s="1463"/>
      <c r="AI271" s="1463"/>
      <c r="AJ271" s="1463"/>
      <c r="AK271" s="1463"/>
      <c r="AL271" s="3"/>
      <c r="AM271" s="3"/>
      <c r="AN271" s="3"/>
      <c r="AO271" s="3"/>
      <c r="AP271" s="3"/>
      <c r="AQ271" s="3"/>
      <c r="AR271" s="3"/>
      <c r="AS271" s="3"/>
      <c r="AT271" s="3"/>
      <c r="AU271" s="3"/>
      <c r="AV271" s="3"/>
      <c r="AW271" s="3"/>
      <c r="AX271" s="3"/>
      <c r="AY271" s="3"/>
    </row>
    <row r="272" spans="1:66" ht="12.95" customHeight="1">
      <c r="A272" s="13"/>
      <c r="B272" s="4"/>
      <c r="C272" s="4"/>
      <c r="D272" s="4" t="s">
        <v>88</v>
      </c>
      <c r="E272" s="4"/>
      <c r="F272" s="4"/>
      <c r="M272" s="1329"/>
      <c r="N272" s="1329"/>
      <c r="O272" s="1329"/>
      <c r="P272" s="1329"/>
      <c r="Q272" s="1329"/>
      <c r="R272" s="1329"/>
      <c r="S272" s="4" t="s">
        <v>206</v>
      </c>
      <c r="T272" s="4"/>
      <c r="U272" s="1416"/>
      <c r="V272" s="1416"/>
      <c r="W272" s="1416"/>
      <c r="X272" s="4" t="s">
        <v>89</v>
      </c>
      <c r="Z272" s="1329"/>
      <c r="AA272" s="1329"/>
      <c r="AB272" s="1329"/>
      <c r="AC272" s="1329"/>
      <c r="AD272" s="1329"/>
      <c r="AE272" s="1329"/>
      <c r="AL272" s="3"/>
      <c r="AM272" s="3"/>
      <c r="AN272" s="3"/>
      <c r="AO272" s="3"/>
      <c r="AP272" s="3"/>
      <c r="AQ272" s="3"/>
      <c r="AR272" s="3"/>
      <c r="AS272" s="3"/>
      <c r="AT272" s="3"/>
      <c r="AU272" s="3"/>
      <c r="AV272" s="3"/>
      <c r="AW272" s="3"/>
      <c r="AX272" s="3"/>
      <c r="AY272" s="3"/>
    </row>
    <row r="273" spans="1:51" ht="12.95" customHeight="1">
      <c r="A273" s="13"/>
      <c r="B273" s="4"/>
      <c r="C273" s="4"/>
      <c r="D273" s="4" t="s">
        <v>90</v>
      </c>
      <c r="E273" s="4"/>
      <c r="F273" s="4"/>
      <c r="M273" s="1453"/>
      <c r="N273" s="1453"/>
      <c r="O273" s="1453"/>
      <c r="P273" s="1453"/>
      <c r="Q273" s="1453"/>
      <c r="R273" s="1453"/>
      <c r="S273" s="1453"/>
      <c r="T273" s="1453"/>
      <c r="U273" s="1453"/>
      <c r="V273" s="1453"/>
      <c r="W273" s="1453"/>
      <c r="X273" s="1453"/>
      <c r="Y273" s="1453"/>
      <c r="Z273" s="1453"/>
      <c r="AA273" s="1465"/>
      <c r="AB273" s="1465"/>
      <c r="AC273" s="1465"/>
      <c r="AD273" s="1465"/>
      <c r="AE273" s="1465"/>
      <c r="AG273" s="4"/>
      <c r="AH273" s="4"/>
      <c r="AI273" s="4"/>
      <c r="AJ273" s="4"/>
      <c r="AK273" s="4"/>
      <c r="AL273" s="3"/>
      <c r="AM273" s="3"/>
      <c r="AN273" s="3"/>
      <c r="AO273" s="3"/>
      <c r="AP273" s="3"/>
      <c r="AQ273" s="3"/>
      <c r="AR273" s="3"/>
      <c r="AS273" s="3"/>
      <c r="AT273" s="3"/>
      <c r="AU273" s="3"/>
      <c r="AV273" s="3"/>
      <c r="AW273" s="3"/>
      <c r="AX273" s="3"/>
      <c r="AY273" s="3"/>
    </row>
    <row r="274" spans="1:51" ht="12.95" customHeight="1">
      <c r="A274" s="13"/>
      <c r="B274" s="4"/>
      <c r="C274" s="56"/>
      <c r="D274" s="4" t="s">
        <v>535</v>
      </c>
      <c r="E274" s="4"/>
      <c r="F274" s="4"/>
      <c r="G274" s="4"/>
      <c r="H274" s="4"/>
      <c r="I274" s="4"/>
      <c r="J274" s="4"/>
      <c r="K274" s="4"/>
      <c r="L274" s="4"/>
      <c r="M274" s="1399" t="s">
        <v>307</v>
      </c>
      <c r="N274" s="1399"/>
      <c r="O274" s="1399"/>
      <c r="P274" s="1399"/>
      <c r="Q274" s="1399"/>
      <c r="R274" s="1399"/>
      <c r="S274" s="1399"/>
      <c r="T274" s="1399"/>
      <c r="U274" s="204" t="s">
        <v>906</v>
      </c>
      <c r="V274" s="204"/>
      <c r="W274" s="204"/>
      <c r="X274" s="204"/>
      <c r="Y274" s="204"/>
      <c r="Z274" s="204"/>
      <c r="AA274" s="1493"/>
      <c r="AB274" s="1493"/>
      <c r="AC274" s="1493"/>
      <c r="AD274" s="1493"/>
      <c r="AE274" s="1493"/>
      <c r="AF274" s="1493"/>
      <c r="AG274" s="1493"/>
      <c r="AH274" s="1493"/>
      <c r="AI274" s="1493"/>
      <c r="AJ274" s="1493"/>
      <c r="AK274" s="1493"/>
      <c r="AL274" s="3"/>
      <c r="AM274" s="3"/>
      <c r="AN274" s="3"/>
      <c r="AO274" s="3"/>
      <c r="AP274" s="3"/>
      <c r="AQ274" s="3"/>
      <c r="AR274" s="3"/>
      <c r="AS274" s="3"/>
      <c r="AT274" s="3"/>
    </row>
    <row r="275" spans="1:51" ht="12.95" customHeight="1">
      <c r="A275" s="19"/>
      <c r="B275" s="4"/>
      <c r="C275" s="4"/>
      <c r="D275" s="4"/>
      <c r="E275" s="4"/>
      <c r="F275" s="4"/>
      <c r="J275" s="165"/>
      <c r="K275" s="118"/>
      <c r="L275" s="118"/>
      <c r="M275" s="118"/>
      <c r="N275" s="118"/>
      <c r="O275" s="118"/>
      <c r="P275" s="118"/>
      <c r="Q275" s="118"/>
      <c r="R275" s="118"/>
      <c r="S275" s="118"/>
      <c r="T275" s="118"/>
      <c r="U275" s="118"/>
      <c r="V275" s="118"/>
      <c r="W275" s="118"/>
      <c r="X275" s="118"/>
      <c r="Y275" s="118"/>
      <c r="AD275" s="48"/>
      <c r="AE275" s="48"/>
    </row>
    <row r="276" spans="1:51" ht="12.95" customHeight="1">
      <c r="A276" s="57" t="s">
        <v>590</v>
      </c>
      <c r="B276" s="4"/>
      <c r="C276" s="2" t="s">
        <v>295</v>
      </c>
      <c r="D276" s="4"/>
      <c r="E276" s="4"/>
      <c r="F276" s="4"/>
      <c r="G276" s="4"/>
      <c r="H276" s="4"/>
      <c r="I276" s="4"/>
      <c r="J276" s="4"/>
      <c r="K276" s="4"/>
      <c r="L276" s="4"/>
      <c r="M276" s="35"/>
      <c r="N276" s="35"/>
      <c r="O276" s="35"/>
      <c r="P276" s="35"/>
      <c r="Q276" s="35"/>
      <c r="T276" s="1492" t="str">
        <f>IFERROR(BO254,"")</f>
        <v>Joint Venture</v>
      </c>
      <c r="U276" s="1492"/>
      <c r="V276" s="1492"/>
      <c r="W276" s="1492"/>
      <c r="X276" s="1492"/>
      <c r="Z276" s="307" t="s">
        <v>954</v>
      </c>
      <c r="AA276" s="308"/>
      <c r="AB276" s="308"/>
      <c r="AC276" s="308"/>
      <c r="AD276" s="105"/>
      <c r="AE276" s="105"/>
      <c r="AF276" s="105"/>
      <c r="AG276" s="105"/>
      <c r="AH276" s="105"/>
      <c r="AI276" s="105"/>
      <c r="AJ276" s="105"/>
      <c r="AK276" s="309"/>
      <c r="AL276" s="58"/>
    </row>
    <row r="277" spans="1:51" ht="12.95" customHeight="1">
      <c r="A277" s="2"/>
      <c r="B277" s="4"/>
      <c r="C277" s="2"/>
      <c r="I277" s="4"/>
      <c r="J277" s="4"/>
      <c r="K277" s="4"/>
      <c r="L277" s="4"/>
      <c r="M277" s="35"/>
      <c r="N277" s="35"/>
      <c r="O277" s="35"/>
      <c r="P277" s="35"/>
      <c r="Q277" s="35"/>
      <c r="T277" s="4"/>
      <c r="U277" s="4"/>
      <c r="V277" s="4"/>
      <c r="W277" s="35"/>
      <c r="Z277" s="310" t="s">
        <v>807</v>
      </c>
      <c r="AF277" s="4"/>
      <c r="AG277" s="4"/>
      <c r="AH277" s="4"/>
      <c r="AI277" s="4"/>
      <c r="AJ277" s="4"/>
      <c r="AL277" s="65"/>
    </row>
    <row r="278" spans="1:51" ht="12.95" customHeight="1">
      <c r="A278" s="2" t="s">
        <v>592</v>
      </c>
      <c r="B278" s="4"/>
      <c r="C278" s="2" t="s">
        <v>172</v>
      </c>
      <c r="D278" s="4"/>
      <c r="E278" s="4"/>
      <c r="F278" s="4"/>
      <c r="G278" s="4"/>
      <c r="H278" s="4"/>
      <c r="I278" s="4"/>
      <c r="J278" s="4"/>
      <c r="K278" s="4"/>
      <c r="L278" s="4"/>
      <c r="M278" s="4"/>
      <c r="N278" s="4"/>
      <c r="O278" s="4"/>
      <c r="P278" s="4"/>
      <c r="Q278" s="4"/>
      <c r="R278" s="4"/>
      <c r="S278" s="4"/>
      <c r="T278" s="4"/>
      <c r="U278" s="4"/>
      <c r="V278" s="4"/>
      <c r="W278" s="4"/>
      <c r="Z278" s="311" t="s">
        <v>953</v>
      </c>
      <c r="AA278" s="48"/>
      <c r="AB278" s="48"/>
      <c r="AC278" s="48"/>
      <c r="AD278" s="48"/>
      <c r="AE278" s="48"/>
      <c r="AF278" s="104"/>
      <c r="AG278" s="104"/>
      <c r="AH278" s="104"/>
      <c r="AI278" s="104"/>
      <c r="AJ278" s="104"/>
      <c r="AK278" s="48"/>
      <c r="AL278" s="49"/>
    </row>
    <row r="279" spans="1:51" ht="12.95" customHeight="1">
      <c r="A279" s="4"/>
      <c r="B279" s="36">
        <v>0</v>
      </c>
      <c r="D279" s="1440" t="s">
        <v>280</v>
      </c>
      <c r="E279" s="1440"/>
      <c r="F279" s="1440"/>
      <c r="G279" s="1440"/>
      <c r="H279" s="1440"/>
      <c r="J279" t="s">
        <v>279</v>
      </c>
      <c r="X279" s="1464"/>
      <c r="Y279" s="1464"/>
      <c r="Z279" s="1464"/>
      <c r="AA279" s="1464"/>
      <c r="AB279" s="1464"/>
      <c r="AC279" s="1464"/>
      <c r="AU279" s="3"/>
      <c r="AV279" s="3"/>
      <c r="AW279" s="3"/>
      <c r="AX279" s="3"/>
      <c r="AY279" s="3"/>
    </row>
    <row r="280" spans="1:51" ht="12.95" customHeight="1">
      <c r="A280" s="4"/>
      <c r="B280" s="19"/>
      <c r="D280" s="37" t="s">
        <v>281</v>
      </c>
      <c r="E280" s="4"/>
      <c r="F280" s="4"/>
      <c r="G280" s="4"/>
      <c r="H280" s="4"/>
      <c r="I280" s="4"/>
      <c r="J280" s="4"/>
      <c r="K280" s="4"/>
      <c r="L280" s="4"/>
      <c r="M280" s="4"/>
      <c r="N280" s="4"/>
      <c r="O280" s="4"/>
      <c r="P280" s="4"/>
      <c r="Q280" s="4"/>
      <c r="R280" s="4"/>
      <c r="S280" s="4"/>
      <c r="T280" s="4"/>
      <c r="U280" s="4"/>
      <c r="V280" s="4"/>
      <c r="W280" s="4"/>
      <c r="X280" s="4"/>
      <c r="Y280" s="4"/>
      <c r="Z280" s="4"/>
      <c r="AA280" s="4"/>
      <c r="AH280" s="4"/>
      <c r="AI280" s="4"/>
      <c r="AJ280" s="4"/>
      <c r="AK280" s="3"/>
      <c r="AL280" s="3"/>
      <c r="AM280" s="3"/>
      <c r="AN280" s="3"/>
      <c r="AO280" s="3"/>
      <c r="AP280" s="3"/>
      <c r="AQ280" s="3"/>
      <c r="AR280" s="3"/>
      <c r="AS280" s="3"/>
      <c r="AT280" s="3"/>
      <c r="AU280" s="3"/>
      <c r="AV280" s="3"/>
      <c r="AW280" s="3"/>
      <c r="AX280" s="3"/>
      <c r="AY280" s="3"/>
    </row>
    <row r="281" spans="1:51" ht="12.95" customHeight="1">
      <c r="A281" s="35"/>
      <c r="B281" s="35"/>
      <c r="C281" s="35"/>
      <c r="D281" s="35"/>
      <c r="E281" s="35"/>
      <c r="F281" s="35"/>
      <c r="G281" s="35"/>
      <c r="H281" s="35"/>
      <c r="I281" s="35"/>
      <c r="J281" s="35"/>
      <c r="K281" s="35"/>
      <c r="L281" s="35"/>
      <c r="M281" s="35"/>
      <c r="N281" s="35"/>
      <c r="O281" s="35"/>
      <c r="P281" s="35"/>
      <c r="Q281" s="35"/>
      <c r="R281" s="35"/>
      <c r="S281" s="35"/>
      <c r="T281" s="35"/>
      <c r="U281" s="4"/>
      <c r="V281" s="4"/>
      <c r="W281" s="36"/>
      <c r="X281" s="4"/>
      <c r="Y281" s="4"/>
      <c r="Z281" s="6"/>
      <c r="AA281" s="6"/>
      <c r="AB281" s="6"/>
      <c r="AC281" s="6"/>
      <c r="AD281" s="6"/>
      <c r="AE281" s="4"/>
      <c r="AK281" s="3"/>
      <c r="AL281" s="3"/>
      <c r="AM281" s="3"/>
      <c r="AN281" s="3"/>
      <c r="AO281" s="3"/>
      <c r="AP281" s="3"/>
      <c r="AQ281" s="3"/>
      <c r="AR281" s="3"/>
      <c r="AS281" s="3"/>
      <c r="AT281" s="3"/>
    </row>
    <row r="282" spans="1:51" ht="12.95" customHeight="1">
      <c r="A282" s="2" t="s">
        <v>467</v>
      </c>
      <c r="B282" s="2"/>
      <c r="C282" s="2" t="s">
        <v>622</v>
      </c>
      <c r="D282" s="4"/>
      <c r="E282" s="4"/>
      <c r="F282" s="4"/>
      <c r="G282" s="4"/>
      <c r="H282" s="4"/>
      <c r="I282" s="4"/>
      <c r="J282" s="4"/>
      <c r="K282" s="4"/>
      <c r="L282" s="4"/>
      <c r="M282" s="4"/>
      <c r="N282" s="4"/>
      <c r="O282" s="4"/>
      <c r="P282" s="4"/>
      <c r="Q282" s="4"/>
      <c r="R282" s="4"/>
      <c r="S282" s="4"/>
      <c r="T282" s="4"/>
      <c r="AU282" s="3"/>
      <c r="AV282" s="3"/>
      <c r="AW282" s="3"/>
      <c r="AX282" s="3"/>
      <c r="AY282" s="3"/>
    </row>
    <row r="283" spans="1:51" ht="12.95" customHeight="1">
      <c r="D283" s="4" t="s">
        <v>296</v>
      </c>
      <c r="E283" s="4"/>
      <c r="F283" s="4"/>
      <c r="G283" s="4"/>
      <c r="H283" s="4"/>
      <c r="I283" s="4"/>
      <c r="J283" s="4"/>
      <c r="K283" s="4"/>
      <c r="L283" s="1482" t="s">
        <v>2673</v>
      </c>
      <c r="M283" s="1466"/>
      <c r="N283" s="1466"/>
      <c r="O283" s="1466"/>
      <c r="P283" s="1466"/>
      <c r="Q283" s="1466"/>
      <c r="R283" s="1466"/>
      <c r="S283" s="1466"/>
      <c r="T283" s="1466"/>
      <c r="U283" s="1466"/>
      <c r="V283" s="1466"/>
      <c r="W283" s="1466"/>
      <c r="X283" s="1466"/>
      <c r="Y283" s="1466"/>
      <c r="Z283" s="1466"/>
      <c r="AA283" s="1466"/>
      <c r="AB283" s="1466"/>
      <c r="AC283" s="1466"/>
      <c r="AD283" s="1466"/>
      <c r="AE283" s="1466"/>
      <c r="AF283" s="1466"/>
      <c r="AG283" s="1466"/>
      <c r="AH283" s="1466"/>
      <c r="AI283" s="1466"/>
      <c r="AJ283" s="1466"/>
      <c r="AK283" s="3"/>
      <c r="AL283" s="3"/>
      <c r="AM283" s="3"/>
      <c r="AN283" s="3"/>
      <c r="AO283" s="3"/>
      <c r="AP283" s="3"/>
      <c r="AQ283" s="3"/>
      <c r="AR283" s="3"/>
      <c r="AS283" s="3"/>
      <c r="AT283" s="3"/>
      <c r="AU283" s="3"/>
      <c r="AV283" s="3"/>
      <c r="AW283" s="3"/>
      <c r="AX283" s="3"/>
      <c r="AY283" s="3"/>
    </row>
    <row r="284" spans="1:51" ht="12.95" customHeight="1">
      <c r="D284" s="4" t="s">
        <v>85</v>
      </c>
      <c r="E284" s="4"/>
      <c r="F284" s="4"/>
      <c r="G284" s="4"/>
      <c r="H284" s="4"/>
      <c r="I284" s="4"/>
      <c r="J284" s="4"/>
      <c r="K284" s="4"/>
      <c r="L284" s="1358" t="s">
        <v>2647</v>
      </c>
      <c r="M284" s="1440"/>
      <c r="N284" s="1440"/>
      <c r="O284" s="1440"/>
      <c r="P284" s="1440"/>
      <c r="Q284" s="1440"/>
      <c r="R284" s="1440"/>
      <c r="S284" s="1440"/>
      <c r="T284" s="1440"/>
      <c r="U284" s="1440"/>
      <c r="V284" s="1440"/>
      <c r="W284" s="1440"/>
      <c r="X284" s="1440"/>
      <c r="Y284" s="1440"/>
      <c r="Z284" s="1440"/>
      <c r="AA284" s="1440"/>
      <c r="AB284" s="1440"/>
      <c r="AC284" s="1440"/>
      <c r="AD284" s="1440"/>
      <c r="AK284" s="3"/>
      <c r="AL284" s="3"/>
      <c r="AM284" s="3"/>
      <c r="AN284" s="3"/>
      <c r="AO284" s="3"/>
      <c r="AP284" s="3"/>
      <c r="AQ284" s="3"/>
      <c r="AR284" s="3"/>
      <c r="AS284" s="3"/>
      <c r="AT284" s="3"/>
      <c r="AU284" s="3"/>
      <c r="AV284" s="3"/>
      <c r="AW284" s="3"/>
      <c r="AX284" s="3"/>
      <c r="AY284" s="3"/>
    </row>
    <row r="285" spans="1:51" ht="12.95" customHeight="1">
      <c r="D285" s="4" t="s">
        <v>580</v>
      </c>
      <c r="E285" s="4"/>
      <c r="L285" s="1358" t="s">
        <v>2648</v>
      </c>
      <c r="M285" s="1440"/>
      <c r="N285" s="1440"/>
      <c r="O285" s="1440"/>
      <c r="P285" s="1440"/>
      <c r="Q285" s="1440"/>
      <c r="R285" s="1440"/>
      <c r="S285" s="1440"/>
      <c r="U285" s="33" t="s">
        <v>86</v>
      </c>
      <c r="V285" s="1441" t="s">
        <v>2649</v>
      </c>
      <c r="W285" s="1416"/>
      <c r="X285" s="4" t="s">
        <v>583</v>
      </c>
      <c r="AB285" s="1440">
        <v>95521</v>
      </c>
      <c r="AC285" s="1440"/>
      <c r="AD285" s="1440"/>
      <c r="AK285" s="3"/>
      <c r="AL285" s="3"/>
      <c r="AM285" s="3"/>
      <c r="AN285" s="3"/>
      <c r="AO285" s="3"/>
      <c r="AP285" s="3"/>
      <c r="AQ285" s="3"/>
      <c r="AR285" s="3"/>
      <c r="AS285" s="3"/>
      <c r="AT285" s="3"/>
      <c r="AU285" s="3"/>
      <c r="AV285" s="3"/>
      <c r="AW285" s="3"/>
      <c r="AX285" s="3"/>
      <c r="AY285" s="3"/>
    </row>
    <row r="286" spans="1:51" ht="12.95" customHeight="1">
      <c r="D286" s="4" t="s">
        <v>87</v>
      </c>
      <c r="E286" s="4"/>
      <c r="F286" s="4"/>
      <c r="G286" s="4"/>
      <c r="H286" s="4"/>
      <c r="I286" s="4"/>
      <c r="J286" s="4"/>
      <c r="K286" s="19"/>
      <c r="L286" s="1358" t="s">
        <v>2674</v>
      </c>
      <c r="M286" s="1440"/>
      <c r="N286" s="1440"/>
      <c r="O286" s="1440"/>
      <c r="P286" s="1440"/>
      <c r="Q286" s="1440"/>
      <c r="R286" s="1440"/>
      <c r="S286" s="1440"/>
      <c r="T286" s="1440"/>
      <c r="U286" s="1440"/>
      <c r="V286" s="1440"/>
      <c r="W286" s="1440"/>
      <c r="X286" s="1440"/>
      <c r="Y286" s="1440"/>
      <c r="Z286" s="1440"/>
      <c r="AA286" s="1440"/>
      <c r="AB286" s="1440"/>
      <c r="AC286" s="1440"/>
      <c r="AD286" s="1440"/>
      <c r="AI286" s="4"/>
      <c r="AJ286" s="4"/>
      <c r="AK286" s="3"/>
      <c r="AL286" s="3"/>
      <c r="AM286" s="3"/>
      <c r="AN286" s="3"/>
      <c r="AO286" s="3"/>
      <c r="AP286" s="3"/>
      <c r="AQ286" s="3"/>
      <c r="AR286" s="3"/>
      <c r="AS286" s="3"/>
      <c r="AT286" s="3"/>
    </row>
    <row r="287" spans="1:51" ht="12.95" customHeight="1">
      <c r="D287" s="4" t="s">
        <v>88</v>
      </c>
      <c r="E287" s="4"/>
      <c r="F287" s="4"/>
      <c r="L287" s="1328" t="s">
        <v>2664</v>
      </c>
      <c r="M287" s="1329"/>
      <c r="N287" s="1329"/>
      <c r="O287" s="1329"/>
      <c r="P287" s="1329"/>
      <c r="Q287" s="1329"/>
      <c r="R287" s="4" t="s">
        <v>206</v>
      </c>
      <c r="S287" s="4"/>
      <c r="T287" s="1416"/>
      <c r="U287" s="1416"/>
      <c r="V287" s="1416"/>
      <c r="W287" s="4" t="s">
        <v>89</v>
      </c>
      <c r="Y287" s="1329"/>
      <c r="Z287" s="1329"/>
      <c r="AA287" s="1329"/>
      <c r="AB287" s="1329"/>
      <c r="AC287" s="1329"/>
      <c r="AD287" s="1329"/>
    </row>
    <row r="288" spans="1:51" ht="12.95" customHeight="1">
      <c r="D288" s="4" t="s">
        <v>90</v>
      </c>
      <c r="E288" s="4"/>
      <c r="F288" s="4"/>
      <c r="L288" s="1453" t="s">
        <v>2675</v>
      </c>
      <c r="M288" s="1453"/>
      <c r="N288" s="1453"/>
      <c r="O288" s="1453"/>
      <c r="P288" s="1453"/>
      <c r="Q288" s="1453"/>
      <c r="R288" s="1453"/>
      <c r="S288" s="1453"/>
      <c r="T288" s="1453"/>
      <c r="U288" s="1453"/>
      <c r="V288" s="1453"/>
      <c r="W288" s="1453"/>
      <c r="X288" s="1453"/>
      <c r="Y288" s="1453"/>
      <c r="Z288" s="1453"/>
      <c r="AA288" s="1453"/>
      <c r="AB288" s="1453"/>
      <c r="AC288" s="1453"/>
      <c r="AD288" s="1453"/>
      <c r="AF288" s="4"/>
      <c r="AG288" s="4"/>
      <c r="AH288" s="4"/>
      <c r="AI288" s="4"/>
      <c r="AJ288" s="4"/>
      <c r="AU288" s="3"/>
      <c r="AV288" s="3"/>
      <c r="AW288" s="3"/>
      <c r="AX288" s="3"/>
      <c r="AY288" s="3"/>
    </row>
    <row r="289" spans="1:51" ht="12.95" customHeight="1">
      <c r="D289" s="3" t="s">
        <v>623</v>
      </c>
      <c r="E289" s="3"/>
      <c r="F289" s="3"/>
      <c r="G289" s="3"/>
      <c r="H289" s="3"/>
      <c r="I289" s="3"/>
      <c r="L289" s="1441" t="s">
        <v>2676</v>
      </c>
      <c r="M289" s="1441"/>
      <c r="N289" s="1441"/>
      <c r="O289" s="1441"/>
      <c r="P289" s="1441"/>
      <c r="Q289" s="1441"/>
      <c r="R289" s="1441"/>
      <c r="S289" s="1441"/>
      <c r="T289" s="1441"/>
      <c r="U289" s="1441"/>
      <c r="V289" s="1441"/>
      <c r="W289" s="1441"/>
      <c r="X289" s="1441"/>
      <c r="Y289" s="1441"/>
      <c r="Z289" s="1441"/>
      <c r="AA289" s="1441"/>
      <c r="AB289" s="1441"/>
      <c r="AC289" s="1441"/>
      <c r="AD289" s="1441"/>
      <c r="AK289" s="3"/>
      <c r="AL289" s="3"/>
      <c r="AM289" s="3"/>
      <c r="AN289" s="3"/>
      <c r="AO289" s="3"/>
      <c r="AP289" s="3"/>
      <c r="AQ289" s="3"/>
      <c r="AR289" s="3"/>
      <c r="AS289" s="3"/>
      <c r="AT289" s="3"/>
    </row>
    <row r="290" spans="1:51" ht="12.95" customHeight="1">
      <c r="L290" s="22" t="s">
        <v>624</v>
      </c>
      <c r="AU290" s="95"/>
      <c r="AV290" s="95"/>
      <c r="AW290" s="95"/>
      <c r="AX290" s="95"/>
      <c r="AY290" s="95"/>
    </row>
    <row r="291" spans="1:51" ht="12.95" customHeight="1">
      <c r="A291" s="1457" t="s">
        <v>541</v>
      </c>
      <c r="B291" s="1457"/>
      <c r="C291" s="1457"/>
      <c r="D291" s="1457"/>
      <c r="E291" s="1457"/>
      <c r="F291" s="1457"/>
      <c r="G291" s="1457"/>
      <c r="H291" s="1457"/>
      <c r="I291" s="1457"/>
      <c r="J291" s="1457"/>
      <c r="K291" s="1457"/>
      <c r="L291" s="1457"/>
      <c r="M291" s="1457"/>
      <c r="N291" s="1457"/>
      <c r="O291" s="1457"/>
      <c r="P291" s="1457"/>
      <c r="Q291" s="1457"/>
      <c r="R291" s="1457"/>
      <c r="S291" s="1457"/>
      <c r="T291" s="1457"/>
      <c r="U291" s="1457"/>
      <c r="V291" s="1457"/>
      <c r="W291" s="1457"/>
      <c r="X291" s="1457"/>
      <c r="Y291" s="1457"/>
      <c r="Z291" s="1457"/>
      <c r="AA291" s="1457"/>
      <c r="AB291" s="1457"/>
      <c r="AC291" s="1457"/>
      <c r="AD291" s="1457"/>
      <c r="AE291" s="1457"/>
      <c r="AF291" s="1457"/>
      <c r="AG291" s="1457"/>
      <c r="AH291" s="1457"/>
      <c r="AI291" s="1457"/>
      <c r="AJ291" s="1457"/>
      <c r="AK291" s="1457"/>
      <c r="AL291" s="1457"/>
      <c r="AM291" s="1457"/>
      <c r="AN291" s="1457"/>
      <c r="AO291" s="1457"/>
      <c r="AP291" s="1457"/>
      <c r="AQ291" s="1457"/>
      <c r="AR291" s="1457"/>
      <c r="AS291" s="1457"/>
      <c r="AT291" s="1457"/>
      <c r="AU291" s="95"/>
      <c r="AV291" s="95"/>
      <c r="AW291" s="95"/>
      <c r="AX291" s="95"/>
      <c r="AY291" s="95"/>
    </row>
    <row r="292" spans="1:51" ht="12.95" customHeight="1">
      <c r="A292" s="1457"/>
      <c r="B292" s="1457"/>
      <c r="C292" s="1457"/>
      <c r="D292" s="1457"/>
      <c r="E292" s="1457"/>
      <c r="F292" s="1457"/>
      <c r="G292" s="1457"/>
      <c r="H292" s="1457"/>
      <c r="I292" s="1457"/>
      <c r="J292" s="1457"/>
      <c r="K292" s="1457"/>
      <c r="L292" s="1457"/>
      <c r="M292" s="1457"/>
      <c r="N292" s="1457"/>
      <c r="O292" s="1457"/>
      <c r="P292" s="1457"/>
      <c r="Q292" s="1457"/>
      <c r="R292" s="1457"/>
      <c r="S292" s="1457"/>
      <c r="T292" s="1457"/>
      <c r="U292" s="1457"/>
      <c r="V292" s="1457"/>
      <c r="W292" s="1457"/>
      <c r="X292" s="1457"/>
      <c r="Y292" s="1457"/>
      <c r="Z292" s="1457"/>
      <c r="AA292" s="1457"/>
      <c r="AB292" s="1457"/>
      <c r="AC292" s="1457"/>
      <c r="AD292" s="1457"/>
      <c r="AE292" s="1457"/>
      <c r="AF292" s="1457"/>
      <c r="AG292" s="1457"/>
      <c r="AH292" s="1457"/>
      <c r="AI292" s="1457"/>
      <c r="AJ292" s="1457"/>
      <c r="AK292" s="1457"/>
      <c r="AL292" s="1457"/>
      <c r="AM292" s="1457"/>
      <c r="AN292" s="1457"/>
      <c r="AO292" s="1457"/>
      <c r="AP292" s="1457"/>
      <c r="AQ292" s="1457"/>
      <c r="AR292" s="1457"/>
      <c r="AS292" s="1457"/>
      <c r="AT292" s="1457"/>
      <c r="AU292" s="25"/>
      <c r="AV292" s="25"/>
      <c r="AW292" s="25"/>
      <c r="AX292" s="25"/>
      <c r="AY292" s="25"/>
    </row>
    <row r="293" spans="1:51" ht="12.95" customHeight="1">
      <c r="I293" s="25"/>
      <c r="J293" s="25"/>
      <c r="K293" s="25"/>
      <c r="L293" s="25"/>
      <c r="M293" s="25"/>
      <c r="N293" s="25"/>
      <c r="O293" s="25"/>
      <c r="P293" s="25"/>
      <c r="Q293" s="25"/>
      <c r="R293" s="25"/>
      <c r="S293" s="25"/>
      <c r="T293" s="25"/>
      <c r="U293" s="25"/>
      <c r="V293" s="25"/>
      <c r="W293" s="25"/>
      <c r="X293" s="25"/>
      <c r="Y293" s="25"/>
      <c r="Z293" s="25"/>
      <c r="AA293" s="25"/>
      <c r="AB293" s="25"/>
      <c r="AC293" s="25"/>
      <c r="AD293" s="25"/>
      <c r="AE293" s="25"/>
      <c r="AF293" s="25"/>
      <c r="AG293" s="25"/>
      <c r="AH293" s="25"/>
      <c r="AI293" s="25"/>
      <c r="AJ293" s="25"/>
      <c r="AK293" s="4"/>
      <c r="AL293" s="25"/>
      <c r="AM293" s="25"/>
      <c r="AN293" s="25"/>
      <c r="AO293" s="25"/>
      <c r="AP293" s="25"/>
      <c r="AQ293" s="25"/>
      <c r="AR293" s="25"/>
      <c r="AS293" s="25"/>
      <c r="AT293" s="25"/>
    </row>
    <row r="294" spans="1:51" ht="12.95" customHeight="1">
      <c r="A294" s="2" t="s">
        <v>319</v>
      </c>
      <c r="C294" s="2" t="s">
        <v>625</v>
      </c>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row>
    <row r="295" spans="1:51" ht="12.95" customHeight="1">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row>
    <row r="296" spans="1:51" ht="12.95" customHeight="1">
      <c r="B296" s="3" t="s">
        <v>626</v>
      </c>
      <c r="C296" s="3"/>
      <c r="D296" s="3"/>
      <c r="E296" s="3"/>
      <c r="F296" s="3"/>
      <c r="H296" s="1358" t="s">
        <v>2673</v>
      </c>
      <c r="I296" s="1359"/>
      <c r="J296" s="1359"/>
      <c r="K296" s="1359"/>
      <c r="L296" s="1359"/>
      <c r="M296" s="1359"/>
      <c r="N296" s="1359"/>
      <c r="O296" s="1359"/>
      <c r="P296" s="1359"/>
      <c r="Q296" s="1359"/>
      <c r="R296" s="1359"/>
      <c r="T296" s="3" t="s">
        <v>567</v>
      </c>
      <c r="V296" s="3"/>
      <c r="W296" s="3"/>
      <c r="X296" s="3"/>
      <c r="Y296" s="3"/>
      <c r="AA296" s="1358" t="s">
        <v>2684</v>
      </c>
      <c r="AB296" s="1359"/>
      <c r="AC296" s="1359"/>
      <c r="AD296" s="1359"/>
      <c r="AE296" s="1359"/>
      <c r="AF296" s="1359"/>
      <c r="AG296" s="1359"/>
      <c r="AH296" s="1359"/>
      <c r="AI296" s="1359"/>
      <c r="AJ296" s="1359"/>
      <c r="AK296" s="1359"/>
    </row>
    <row r="297" spans="1:51" ht="12.95" customHeight="1">
      <c r="B297" s="3" t="s">
        <v>471</v>
      </c>
      <c r="C297" s="3"/>
      <c r="D297" s="3"/>
      <c r="E297" s="3"/>
      <c r="F297" s="3"/>
      <c r="H297" s="1441" t="s">
        <v>2647</v>
      </c>
      <c r="I297" s="1399"/>
      <c r="J297" s="1399"/>
      <c r="K297" s="1399"/>
      <c r="L297" s="1399"/>
      <c r="M297" s="1399"/>
      <c r="N297" s="1399"/>
      <c r="O297" s="1399"/>
      <c r="P297" s="1399"/>
      <c r="Q297" s="1399"/>
      <c r="R297" s="1399"/>
      <c r="T297" s="3" t="s">
        <v>471</v>
      </c>
      <c r="V297" s="3"/>
      <c r="W297" s="3"/>
      <c r="X297" s="3"/>
      <c r="Y297" s="3"/>
      <c r="AA297" s="1441" t="s">
        <v>2685</v>
      </c>
      <c r="AB297" s="1399"/>
      <c r="AC297" s="1399"/>
      <c r="AD297" s="1399"/>
      <c r="AE297" s="1399"/>
      <c r="AF297" s="1399"/>
      <c r="AG297" s="1399"/>
      <c r="AH297" s="1399"/>
      <c r="AI297" s="1399"/>
      <c r="AJ297" s="1399"/>
      <c r="AK297" s="1399"/>
    </row>
    <row r="298" spans="1:51" ht="12.95" customHeight="1">
      <c r="B298" s="3" t="s">
        <v>472</v>
      </c>
      <c r="C298" s="3"/>
      <c r="D298" s="3"/>
      <c r="E298" s="3"/>
      <c r="F298" s="3"/>
      <c r="H298" s="1441" t="s">
        <v>2677</v>
      </c>
      <c r="I298" s="1399"/>
      <c r="J298" s="1399"/>
      <c r="K298" s="1399"/>
      <c r="L298" s="1399"/>
      <c r="M298" s="1399"/>
      <c r="N298" s="1399"/>
      <c r="O298" s="1399"/>
      <c r="P298" s="1399"/>
      <c r="Q298" s="1399"/>
      <c r="R298" s="1399"/>
      <c r="T298" s="3" t="s">
        <v>75</v>
      </c>
      <c r="V298" s="3"/>
      <c r="W298" s="3"/>
      <c r="X298" s="3"/>
      <c r="Y298" s="3"/>
      <c r="AA298" s="1441" t="s">
        <v>2686</v>
      </c>
      <c r="AB298" s="1399"/>
      <c r="AC298" s="1399"/>
      <c r="AD298" s="1399"/>
      <c r="AE298" s="1399"/>
      <c r="AF298" s="1399"/>
      <c r="AG298" s="1399"/>
      <c r="AH298" s="1399"/>
      <c r="AI298" s="1399"/>
      <c r="AJ298" s="1399"/>
      <c r="AK298" s="1399"/>
    </row>
    <row r="299" spans="1:51" ht="12.95" customHeight="1">
      <c r="B299" s="3" t="s">
        <v>87</v>
      </c>
      <c r="C299" s="3"/>
      <c r="D299" s="3"/>
      <c r="E299" s="3"/>
      <c r="F299" s="3"/>
      <c r="H299" s="1441" t="s">
        <v>2663</v>
      </c>
      <c r="I299" s="1399"/>
      <c r="J299" s="1399"/>
      <c r="K299" s="1399"/>
      <c r="L299" s="1399"/>
      <c r="M299" s="1399"/>
      <c r="N299" s="1399"/>
      <c r="O299" s="1399"/>
      <c r="P299" s="1399"/>
      <c r="Q299" s="1399"/>
      <c r="R299" s="1399"/>
      <c r="T299" s="3" t="s">
        <v>87</v>
      </c>
      <c r="V299" s="3"/>
      <c r="W299" s="3"/>
      <c r="X299" s="3"/>
      <c r="Y299" s="3"/>
      <c r="AA299" s="1441" t="s">
        <v>2687</v>
      </c>
      <c r="AB299" s="1399"/>
      <c r="AC299" s="1399"/>
      <c r="AD299" s="1399"/>
      <c r="AE299" s="1399"/>
      <c r="AF299" s="1399"/>
      <c r="AG299" s="1399"/>
      <c r="AH299" s="1399"/>
      <c r="AI299" s="1399"/>
      <c r="AJ299" s="1399"/>
      <c r="AK299" s="1399"/>
    </row>
    <row r="300" spans="1:51" ht="12.95" customHeight="1">
      <c r="B300" s="3" t="s">
        <v>88</v>
      </c>
      <c r="C300" s="3"/>
      <c r="D300" s="3"/>
      <c r="E300" s="3"/>
      <c r="F300" s="3"/>
      <c r="G300" s="3"/>
      <c r="H300" s="1451" t="s">
        <v>2664</v>
      </c>
      <c r="I300" s="1452"/>
      <c r="J300" s="1452"/>
      <c r="K300" s="1452"/>
      <c r="L300" s="1452"/>
      <c r="M300" s="1452"/>
      <c r="N300" s="4" t="s">
        <v>206</v>
      </c>
      <c r="O300" s="4"/>
      <c r="P300" s="1440"/>
      <c r="Q300" s="1440"/>
      <c r="R300" s="1440"/>
      <c r="S300" s="3"/>
      <c r="T300" s="3" t="s">
        <v>88</v>
      </c>
      <c r="V300" s="3"/>
      <c r="W300" s="3"/>
      <c r="X300" s="3"/>
      <c r="Y300" s="3"/>
      <c r="AA300" s="1451" t="s">
        <v>2688</v>
      </c>
      <c r="AB300" s="1452"/>
      <c r="AC300" s="1452"/>
      <c r="AD300" s="1452"/>
      <c r="AE300" s="1452"/>
      <c r="AF300" s="1452"/>
      <c r="AG300" s="4" t="s">
        <v>206</v>
      </c>
      <c r="AH300" s="4"/>
      <c r="AI300" s="1440"/>
      <c r="AJ300" s="1440"/>
      <c r="AK300" s="1440"/>
    </row>
    <row r="301" spans="1:51" ht="12.95" customHeight="1">
      <c r="B301" s="3" t="s">
        <v>89</v>
      </c>
      <c r="C301" s="3"/>
      <c r="D301" s="3"/>
      <c r="E301" s="3"/>
      <c r="F301" s="3"/>
      <c r="G301" s="3"/>
      <c r="H301" s="1329"/>
      <c r="I301" s="1329"/>
      <c r="J301" s="1329"/>
      <c r="K301" s="1329"/>
      <c r="L301" s="1329"/>
      <c r="M301" s="1329"/>
      <c r="N301" s="4"/>
      <c r="O301" s="4"/>
      <c r="P301" s="35"/>
      <c r="Q301" s="35"/>
      <c r="R301" s="35"/>
      <c r="S301" s="3"/>
      <c r="T301" s="3" t="s">
        <v>89</v>
      </c>
      <c r="V301" s="3"/>
      <c r="W301" s="3"/>
      <c r="X301" s="3"/>
      <c r="Y301" s="3"/>
      <c r="AA301" s="1328" t="s">
        <v>2689</v>
      </c>
      <c r="AB301" s="1329"/>
      <c r="AC301" s="1329"/>
      <c r="AD301" s="1329"/>
      <c r="AE301" s="1329"/>
      <c r="AF301" s="1329"/>
      <c r="AG301" s="4"/>
      <c r="AH301" s="4"/>
      <c r="AI301" s="35"/>
      <c r="AJ301" s="35"/>
      <c r="AK301" s="35"/>
    </row>
    <row r="302" spans="1:51" ht="12.95" customHeight="1">
      <c r="B302" s="3" t="s">
        <v>76</v>
      </c>
      <c r="C302" s="3"/>
      <c r="D302" s="3"/>
      <c r="E302" s="3"/>
      <c r="F302" s="3"/>
      <c r="G302" s="3"/>
      <c r="H302" s="1441" t="s">
        <v>2665</v>
      </c>
      <c r="I302" s="1399"/>
      <c r="J302" s="1399"/>
      <c r="K302" s="1399"/>
      <c r="L302" s="1399"/>
      <c r="M302" s="1399"/>
      <c r="N302" s="1359"/>
      <c r="O302" s="1359"/>
      <c r="P302" s="1359"/>
      <c r="Q302" s="1359"/>
      <c r="R302" s="1359"/>
      <c r="S302" s="3"/>
      <c r="T302" s="3" t="s">
        <v>76</v>
      </c>
      <c r="V302" s="3"/>
      <c r="W302" s="3"/>
      <c r="X302" s="3"/>
      <c r="Y302" s="3"/>
      <c r="AA302" s="1441" t="s">
        <v>2690</v>
      </c>
      <c r="AB302" s="1399"/>
      <c r="AC302" s="1399"/>
      <c r="AD302" s="1399"/>
      <c r="AE302" s="1399"/>
      <c r="AF302" s="1399"/>
      <c r="AG302" s="1359"/>
      <c r="AH302" s="1359"/>
      <c r="AI302" s="1359"/>
      <c r="AJ302" s="1359"/>
      <c r="AK302" s="1359"/>
    </row>
    <row r="303" spans="1:51" ht="12.95" customHeight="1">
      <c r="B303" s="3"/>
      <c r="C303" s="3"/>
      <c r="D303" s="3"/>
      <c r="E303" s="3"/>
      <c r="F303" s="3"/>
      <c r="G303" s="3"/>
      <c r="H303" s="3"/>
      <c r="I303" s="3"/>
      <c r="J303" s="3"/>
      <c r="K303" s="3"/>
      <c r="L303" s="3"/>
      <c r="M303" s="3"/>
      <c r="N303" s="3"/>
      <c r="O303" s="3"/>
      <c r="P303" s="3"/>
      <c r="Q303" s="3"/>
      <c r="R303" s="3"/>
      <c r="S303" s="3"/>
      <c r="T303" s="3"/>
      <c r="V303" s="3"/>
      <c r="W303" s="3"/>
      <c r="X303" s="3"/>
      <c r="Y303" s="3"/>
      <c r="AA303" s="3"/>
      <c r="AB303" s="3"/>
      <c r="AC303" s="3"/>
      <c r="AD303" s="3"/>
      <c r="AE303" s="3"/>
      <c r="AF303" s="3"/>
      <c r="AG303" s="3"/>
      <c r="AH303" s="3"/>
      <c r="AI303" s="3"/>
      <c r="AJ303" s="3"/>
      <c r="AK303" s="3"/>
    </row>
    <row r="304" spans="1:51" ht="12.95" customHeight="1">
      <c r="B304" s="3" t="s">
        <v>323</v>
      </c>
      <c r="C304" s="3"/>
      <c r="D304" s="3"/>
      <c r="E304" s="3"/>
      <c r="F304" s="3"/>
      <c r="H304" s="1358" t="s">
        <v>2678</v>
      </c>
      <c r="I304" s="1359"/>
      <c r="J304" s="1359"/>
      <c r="K304" s="1359"/>
      <c r="L304" s="1359"/>
      <c r="M304" s="1359"/>
      <c r="N304" s="1359"/>
      <c r="O304" s="1359"/>
      <c r="P304" s="1359"/>
      <c r="Q304" s="1359"/>
      <c r="R304" s="1359"/>
      <c r="T304" s="3" t="s">
        <v>364</v>
      </c>
      <c r="V304" s="3"/>
      <c r="W304" s="3"/>
      <c r="X304" s="3"/>
      <c r="Y304" s="3"/>
      <c r="AA304" s="1358" t="s">
        <v>2691</v>
      </c>
      <c r="AB304" s="1359"/>
      <c r="AC304" s="1359"/>
      <c r="AD304" s="1359"/>
      <c r="AE304" s="1359"/>
      <c r="AF304" s="1359"/>
      <c r="AG304" s="1359"/>
      <c r="AH304" s="1359"/>
      <c r="AI304" s="1359"/>
      <c r="AJ304" s="1359"/>
      <c r="AK304" s="1359"/>
    </row>
    <row r="305" spans="2:72" ht="12.95" customHeight="1">
      <c r="B305" s="3" t="s">
        <v>471</v>
      </c>
      <c r="C305" s="3"/>
      <c r="D305" s="3"/>
      <c r="E305" s="3"/>
      <c r="F305" s="3"/>
      <c r="H305" s="1441" t="s">
        <v>2679</v>
      </c>
      <c r="I305" s="1399"/>
      <c r="J305" s="1399"/>
      <c r="K305" s="1399"/>
      <c r="L305" s="1399"/>
      <c r="M305" s="1399"/>
      <c r="N305" s="1399"/>
      <c r="O305" s="1399"/>
      <c r="P305" s="1399"/>
      <c r="Q305" s="1399"/>
      <c r="R305" s="1399"/>
      <c r="T305" s="3" t="s">
        <v>471</v>
      </c>
      <c r="V305" s="3"/>
      <c r="W305" s="3"/>
      <c r="X305" s="3"/>
      <c r="Y305" s="3"/>
      <c r="AA305" s="1441" t="s">
        <v>2647</v>
      </c>
      <c r="AB305" s="1399"/>
      <c r="AC305" s="1399"/>
      <c r="AD305" s="1399"/>
      <c r="AE305" s="1399"/>
      <c r="AF305" s="1399"/>
      <c r="AG305" s="1399"/>
      <c r="AH305" s="1399"/>
      <c r="AI305" s="1399"/>
      <c r="AJ305" s="1399"/>
      <c r="AK305" s="1399"/>
      <c r="AX305" s="1193"/>
      <c r="AY305" s="1193"/>
      <c r="AZ305" s="1193"/>
      <c r="BA305" s="1193"/>
      <c r="BB305" s="1193"/>
      <c r="BC305" s="1193"/>
      <c r="BD305" s="1193"/>
      <c r="BE305" s="1193"/>
      <c r="BF305" s="1193"/>
      <c r="BG305" s="1193"/>
      <c r="BH305" s="1193"/>
      <c r="BI305" s="1193"/>
      <c r="BJ305" s="1193"/>
      <c r="BK305" s="1193"/>
      <c r="BL305" s="1193"/>
      <c r="BM305" s="1193"/>
      <c r="BN305" s="1193"/>
      <c r="BO305" s="1193"/>
      <c r="BP305" s="1193"/>
      <c r="BQ305" s="1193"/>
      <c r="BR305" s="1193"/>
      <c r="BS305" s="1193"/>
      <c r="BT305" s="1193"/>
    </row>
    <row r="306" spans="2:72" ht="12.95" customHeight="1">
      <c r="B306" s="3" t="s">
        <v>472</v>
      </c>
      <c r="C306" s="3"/>
      <c r="D306" s="3"/>
      <c r="E306" s="3"/>
      <c r="F306" s="3"/>
      <c r="H306" s="1441" t="s">
        <v>2680</v>
      </c>
      <c r="I306" s="1399"/>
      <c r="J306" s="1399"/>
      <c r="K306" s="1399"/>
      <c r="L306" s="1399"/>
      <c r="M306" s="1399"/>
      <c r="N306" s="1399"/>
      <c r="O306" s="1399"/>
      <c r="P306" s="1399"/>
      <c r="Q306" s="1399"/>
      <c r="R306" s="1399"/>
      <c r="T306" s="3" t="s">
        <v>75</v>
      </c>
      <c r="V306" s="3"/>
      <c r="W306" s="3"/>
      <c r="X306" s="3"/>
      <c r="Y306" s="3"/>
      <c r="AA306" s="1441" t="s">
        <v>2677</v>
      </c>
      <c r="AB306" s="1399"/>
      <c r="AC306" s="1399"/>
      <c r="AD306" s="1399"/>
      <c r="AE306" s="1399"/>
      <c r="AF306" s="1399"/>
      <c r="AG306" s="1399"/>
      <c r="AH306" s="1399"/>
      <c r="AI306" s="1399"/>
      <c r="AJ306" s="1399"/>
      <c r="AK306" s="1399"/>
      <c r="AX306" s="1193"/>
      <c r="AY306" s="1193"/>
      <c r="AZ306" s="1193"/>
      <c r="BA306" s="1193"/>
      <c r="BB306" s="1193"/>
      <c r="BC306" s="1193"/>
      <c r="BD306" s="1193"/>
      <c r="BE306" s="1193"/>
      <c r="BF306" s="1193"/>
      <c r="BG306" s="1193"/>
      <c r="BH306" s="1193"/>
      <c r="BI306" s="1193"/>
      <c r="BJ306" s="1193"/>
      <c r="BK306" s="1193"/>
      <c r="BL306" s="1193"/>
      <c r="BM306" s="1193"/>
      <c r="BN306" s="1193"/>
      <c r="BO306" s="1193"/>
      <c r="BP306" s="1193"/>
      <c r="BQ306" s="1193"/>
      <c r="BR306" s="1193"/>
      <c r="BS306" s="1193"/>
      <c r="BT306" s="1193"/>
    </row>
    <row r="307" spans="2:72" ht="12.95" customHeight="1">
      <c r="B307" s="3" t="s">
        <v>87</v>
      </c>
      <c r="C307" s="3"/>
      <c r="D307" s="3"/>
      <c r="E307" s="3"/>
      <c r="F307" s="3"/>
      <c r="H307" s="1441" t="s">
        <v>2681</v>
      </c>
      <c r="I307" s="1399"/>
      <c r="J307" s="1399"/>
      <c r="K307" s="1399"/>
      <c r="L307" s="1399"/>
      <c r="M307" s="1399"/>
      <c r="N307" s="1399"/>
      <c r="O307" s="1399"/>
      <c r="P307" s="1399"/>
      <c r="Q307" s="1399"/>
      <c r="R307" s="1399"/>
      <c r="T307" s="3" t="s">
        <v>87</v>
      </c>
      <c r="V307" s="3"/>
      <c r="W307" s="3"/>
      <c r="X307" s="3"/>
      <c r="Y307" s="3"/>
      <c r="AA307" s="1441" t="s">
        <v>2663</v>
      </c>
      <c r="AB307" s="1399"/>
      <c r="AC307" s="1399"/>
      <c r="AD307" s="1399"/>
      <c r="AE307" s="1399"/>
      <c r="AF307" s="1399"/>
      <c r="AG307" s="1399"/>
      <c r="AH307" s="1399"/>
      <c r="AI307" s="1399"/>
      <c r="AJ307" s="1399"/>
      <c r="AK307" s="1399"/>
    </row>
    <row r="308" spans="2:72" ht="12.95" customHeight="1">
      <c r="B308" s="3" t="s">
        <v>88</v>
      </c>
      <c r="C308" s="3"/>
      <c r="D308" s="3"/>
      <c r="E308" s="3"/>
      <c r="F308" s="3"/>
      <c r="G308" s="3"/>
      <c r="H308" s="1451" t="s">
        <v>2682</v>
      </c>
      <c r="I308" s="1452"/>
      <c r="J308" s="1452"/>
      <c r="K308" s="1452"/>
      <c r="L308" s="1452"/>
      <c r="M308" s="1452"/>
      <c r="N308" s="4" t="s">
        <v>206</v>
      </c>
      <c r="O308" s="4"/>
      <c r="P308" s="1440"/>
      <c r="Q308" s="1440"/>
      <c r="R308" s="1440"/>
      <c r="S308" s="3"/>
      <c r="T308" s="3" t="s">
        <v>88</v>
      </c>
      <c r="V308" s="3"/>
      <c r="W308" s="3"/>
      <c r="X308" s="3"/>
      <c r="Y308" s="3"/>
      <c r="AA308" s="1451" t="s">
        <v>2664</v>
      </c>
      <c r="AB308" s="1452"/>
      <c r="AC308" s="1452"/>
      <c r="AD308" s="1452"/>
      <c r="AE308" s="1452"/>
      <c r="AF308" s="1452"/>
      <c r="AG308" s="4" t="s">
        <v>206</v>
      </c>
      <c r="AH308" s="4"/>
      <c r="AI308" s="1440"/>
      <c r="AJ308" s="1440"/>
      <c r="AK308" s="1440"/>
    </row>
    <row r="309" spans="2:72" ht="12.95" customHeight="1">
      <c r="B309" s="3" t="s">
        <v>89</v>
      </c>
      <c r="C309" s="3"/>
      <c r="D309" s="3"/>
      <c r="E309" s="3"/>
      <c r="F309" s="3"/>
      <c r="G309" s="3"/>
      <c r="H309" s="1329"/>
      <c r="I309" s="1329"/>
      <c r="J309" s="1329"/>
      <c r="K309" s="1329"/>
      <c r="L309" s="1329"/>
      <c r="M309" s="1329"/>
      <c r="N309" s="4"/>
      <c r="O309" s="4"/>
      <c r="P309" s="35"/>
      <c r="Q309" s="35"/>
      <c r="R309" s="35"/>
      <c r="S309" s="3"/>
      <c r="T309" s="3" t="s">
        <v>89</v>
      </c>
      <c r="V309" s="3"/>
      <c r="W309" s="3"/>
      <c r="X309" s="3"/>
      <c r="Y309" s="3"/>
      <c r="AA309" s="1329"/>
      <c r="AB309" s="1329"/>
      <c r="AC309" s="1329"/>
      <c r="AD309" s="1329"/>
      <c r="AE309" s="1329"/>
      <c r="AF309" s="1329"/>
      <c r="AG309" s="4"/>
      <c r="AH309" s="4"/>
      <c r="AI309" s="35"/>
      <c r="AJ309" s="35"/>
      <c r="AK309" s="35"/>
    </row>
    <row r="310" spans="2:72" ht="12.95" customHeight="1">
      <c r="B310" s="3" t="s">
        <v>76</v>
      </c>
      <c r="C310" s="3"/>
      <c r="D310" s="3"/>
      <c r="E310" s="3"/>
      <c r="F310" s="3"/>
      <c r="G310" s="3"/>
      <c r="H310" s="1441" t="s">
        <v>2683</v>
      </c>
      <c r="I310" s="1399"/>
      <c r="J310" s="1399"/>
      <c r="K310" s="1399"/>
      <c r="L310" s="1399"/>
      <c r="M310" s="1399"/>
      <c r="N310" s="1359"/>
      <c r="O310" s="1359"/>
      <c r="P310" s="1359"/>
      <c r="Q310" s="1359"/>
      <c r="R310" s="1359"/>
      <c r="S310" s="3"/>
      <c r="T310" s="3" t="s">
        <v>76</v>
      </c>
      <c r="V310" s="3"/>
      <c r="W310" s="3"/>
      <c r="X310" s="3"/>
      <c r="Y310" s="3"/>
      <c r="AA310" s="1441" t="s">
        <v>2665</v>
      </c>
      <c r="AB310" s="1399"/>
      <c r="AC310" s="1399"/>
      <c r="AD310" s="1399"/>
      <c r="AE310" s="1399"/>
      <c r="AF310" s="1399"/>
      <c r="AG310" s="1359"/>
      <c r="AH310" s="1359"/>
      <c r="AI310" s="1359"/>
      <c r="AJ310" s="1359"/>
      <c r="AK310" s="1359"/>
    </row>
    <row r="311" spans="2:72" ht="12.95" customHeight="1"/>
    <row r="312" spans="2:72" ht="12.95" customHeight="1">
      <c r="B312" s="3" t="s">
        <v>77</v>
      </c>
      <c r="C312" s="3"/>
      <c r="D312" s="3"/>
      <c r="E312" s="3"/>
      <c r="F312" s="3"/>
      <c r="H312" s="1359"/>
      <c r="I312" s="1359"/>
      <c r="J312" s="1359"/>
      <c r="K312" s="1359"/>
      <c r="L312" s="1359"/>
      <c r="M312" s="1359"/>
      <c r="N312" s="1359"/>
      <c r="O312" s="1359"/>
      <c r="P312" s="1359"/>
      <c r="Q312" s="1359"/>
      <c r="R312" s="1359"/>
      <c r="T312" s="4" t="s">
        <v>878</v>
      </c>
      <c r="V312" s="3"/>
      <c r="W312" s="3"/>
      <c r="X312" s="3"/>
      <c r="Y312" s="3"/>
      <c r="AA312" s="1358" t="s">
        <v>2698</v>
      </c>
      <c r="AB312" s="1359"/>
      <c r="AC312" s="1359"/>
      <c r="AD312" s="1359"/>
      <c r="AE312" s="1359"/>
      <c r="AF312" s="1359"/>
      <c r="AG312" s="1359"/>
      <c r="AH312" s="1359"/>
      <c r="AI312" s="1359"/>
      <c r="AJ312" s="1359"/>
      <c r="AK312" s="1359"/>
    </row>
    <row r="313" spans="2:72" ht="12.95" customHeight="1">
      <c r="B313" s="3" t="s">
        <v>471</v>
      </c>
      <c r="C313" s="3"/>
      <c r="D313" s="3"/>
      <c r="E313" s="3"/>
      <c r="F313" s="3"/>
      <c r="H313" s="1399"/>
      <c r="I313" s="1399"/>
      <c r="J313" s="1399"/>
      <c r="K313" s="1399"/>
      <c r="L313" s="1399"/>
      <c r="M313" s="1399"/>
      <c r="N313" s="1399"/>
      <c r="O313" s="1399"/>
      <c r="P313" s="1399"/>
      <c r="Q313" s="1399"/>
      <c r="R313" s="1399"/>
      <c r="T313" s="3" t="s">
        <v>471</v>
      </c>
      <c r="V313" s="3"/>
      <c r="W313" s="3"/>
      <c r="X313" s="3"/>
      <c r="Y313" s="3"/>
      <c r="AA313" s="1441" t="s">
        <v>2699</v>
      </c>
      <c r="AB313" s="1399"/>
      <c r="AC313" s="1399"/>
      <c r="AD313" s="1399"/>
      <c r="AE313" s="1399"/>
      <c r="AF313" s="1399"/>
      <c r="AG313" s="1399"/>
      <c r="AH313" s="1399"/>
      <c r="AI313" s="1399"/>
      <c r="AJ313" s="1399"/>
      <c r="AK313" s="1399"/>
    </row>
    <row r="314" spans="2:72" ht="12.95" customHeight="1">
      <c r="B314" s="3" t="s">
        <v>472</v>
      </c>
      <c r="C314" s="3"/>
      <c r="D314" s="3"/>
      <c r="E314" s="3"/>
      <c r="F314" s="3"/>
      <c r="H314" s="1399"/>
      <c r="I314" s="1399"/>
      <c r="J314" s="1399"/>
      <c r="K314" s="1399"/>
      <c r="L314" s="1399"/>
      <c r="M314" s="1399"/>
      <c r="N314" s="1399"/>
      <c r="O314" s="1399"/>
      <c r="P314" s="1399"/>
      <c r="Q314" s="1399"/>
      <c r="R314" s="1399"/>
      <c r="T314" s="3" t="s">
        <v>75</v>
      </c>
      <c r="V314" s="3"/>
      <c r="W314" s="3"/>
      <c r="X314" s="3"/>
      <c r="Y314" s="3"/>
      <c r="AA314" s="1441" t="s">
        <v>2677</v>
      </c>
      <c r="AB314" s="1399"/>
      <c r="AC314" s="1399"/>
      <c r="AD314" s="1399"/>
      <c r="AE314" s="1399"/>
      <c r="AF314" s="1399"/>
      <c r="AG314" s="1399"/>
      <c r="AH314" s="1399"/>
      <c r="AI314" s="1399"/>
      <c r="AJ314" s="1399"/>
      <c r="AK314" s="1399"/>
    </row>
    <row r="315" spans="2:72" ht="12.95" customHeight="1">
      <c r="B315" s="3" t="s">
        <v>87</v>
      </c>
      <c r="C315" s="3"/>
      <c r="D315" s="3"/>
      <c r="E315" s="3"/>
      <c r="F315" s="3"/>
      <c r="H315" s="1399"/>
      <c r="I315" s="1399"/>
      <c r="J315" s="1399"/>
      <c r="K315" s="1399"/>
      <c r="L315" s="1399"/>
      <c r="M315" s="1399"/>
      <c r="N315" s="1399"/>
      <c r="O315" s="1399"/>
      <c r="P315" s="1399"/>
      <c r="Q315" s="1399"/>
      <c r="R315" s="1399"/>
      <c r="T315" s="3" t="s">
        <v>87</v>
      </c>
      <c r="V315" s="3"/>
      <c r="W315" s="3"/>
      <c r="X315" s="3"/>
      <c r="Y315" s="3"/>
      <c r="AA315" s="1441" t="s">
        <v>2700</v>
      </c>
      <c r="AB315" s="1399"/>
      <c r="AC315" s="1399"/>
      <c r="AD315" s="1399"/>
      <c r="AE315" s="1399"/>
      <c r="AF315" s="1399"/>
      <c r="AG315" s="1399"/>
      <c r="AH315" s="1399"/>
      <c r="AI315" s="1399"/>
      <c r="AJ315" s="1399"/>
      <c r="AK315" s="1399"/>
    </row>
    <row r="316" spans="2:72" ht="12.95" customHeight="1">
      <c r="B316" s="3" t="s">
        <v>88</v>
      </c>
      <c r="C316" s="3"/>
      <c r="D316" s="3"/>
      <c r="E316" s="3"/>
      <c r="F316" s="3"/>
      <c r="G316" s="3"/>
      <c r="H316" s="1452"/>
      <c r="I316" s="1452"/>
      <c r="J316" s="1452"/>
      <c r="K316" s="1452"/>
      <c r="L316" s="1452"/>
      <c r="M316" s="1452"/>
      <c r="N316" s="4" t="s">
        <v>206</v>
      </c>
      <c r="O316" s="4"/>
      <c r="P316" s="1440"/>
      <c r="Q316" s="1440"/>
      <c r="R316" s="1440"/>
      <c r="S316" s="3"/>
      <c r="T316" s="3" t="s">
        <v>88</v>
      </c>
      <c r="V316" s="3"/>
      <c r="W316" s="3"/>
      <c r="X316" s="3"/>
      <c r="Y316" s="3"/>
      <c r="AA316" s="1451" t="s">
        <v>2701</v>
      </c>
      <c r="AB316" s="1452"/>
      <c r="AC316" s="1452"/>
      <c r="AD316" s="1452"/>
      <c r="AE316" s="1452"/>
      <c r="AF316" s="1452"/>
      <c r="AG316" s="4" t="s">
        <v>206</v>
      </c>
      <c r="AH316" s="4"/>
      <c r="AI316" s="1440"/>
      <c r="AJ316" s="1440"/>
      <c r="AK316" s="1440"/>
    </row>
    <row r="317" spans="2:72" ht="12.95" customHeight="1">
      <c r="B317" s="3" t="s">
        <v>89</v>
      </c>
      <c r="C317" s="3"/>
      <c r="D317" s="3"/>
      <c r="E317" s="3"/>
      <c r="F317" s="3"/>
      <c r="G317" s="3"/>
      <c r="H317" s="1329"/>
      <c r="I317" s="1329"/>
      <c r="J317" s="1329"/>
      <c r="K317" s="1329"/>
      <c r="L317" s="1329"/>
      <c r="M317" s="1329"/>
      <c r="N317" s="4"/>
      <c r="O317" s="4"/>
      <c r="P317" s="35"/>
      <c r="Q317" s="35"/>
      <c r="R317" s="35"/>
      <c r="S317" s="3"/>
      <c r="T317" s="3" t="s">
        <v>89</v>
      </c>
      <c r="V317" s="3"/>
      <c r="W317" s="3"/>
      <c r="X317" s="3"/>
      <c r="Y317" s="3"/>
      <c r="AA317" s="1329"/>
      <c r="AB317" s="1329"/>
      <c r="AC317" s="1329"/>
      <c r="AD317" s="1329"/>
      <c r="AE317" s="1329"/>
      <c r="AF317" s="1329"/>
      <c r="AG317" s="4"/>
      <c r="AH317" s="4"/>
      <c r="AI317" s="35"/>
      <c r="AJ317" s="35"/>
      <c r="AK317" s="35"/>
    </row>
    <row r="318" spans="2:72" ht="12.95" customHeight="1">
      <c r="B318" s="3" t="s">
        <v>76</v>
      </c>
      <c r="C318" s="3"/>
      <c r="D318" s="3"/>
      <c r="E318" s="3"/>
      <c r="F318" s="3"/>
      <c r="G318" s="3"/>
      <c r="H318" s="1399"/>
      <c r="I318" s="1399"/>
      <c r="J318" s="1399"/>
      <c r="K318" s="1399"/>
      <c r="L318" s="1399"/>
      <c r="M318" s="1399"/>
      <c r="N318" s="1359"/>
      <c r="O318" s="1359"/>
      <c r="P318" s="1359"/>
      <c r="Q318" s="1359"/>
      <c r="R318" s="1359"/>
      <c r="S318" s="3"/>
      <c r="T318" s="3" t="s">
        <v>76</v>
      </c>
      <c r="V318" s="3"/>
      <c r="W318" s="3"/>
      <c r="X318" s="3"/>
      <c r="Y318" s="3"/>
      <c r="AA318" s="1441" t="s">
        <v>2702</v>
      </c>
      <c r="AB318" s="1399"/>
      <c r="AC318" s="1399"/>
      <c r="AD318" s="1399"/>
      <c r="AE318" s="1399"/>
      <c r="AF318" s="1399"/>
      <c r="AG318" s="1359"/>
      <c r="AH318" s="1359"/>
      <c r="AI318" s="1359"/>
      <c r="AJ318" s="1359"/>
      <c r="AK318" s="1359"/>
    </row>
    <row r="319" spans="2:72" ht="12.95" customHeight="1">
      <c r="B319" s="3"/>
      <c r="C319" s="3"/>
      <c r="D319" s="3"/>
      <c r="E319" s="3"/>
      <c r="F319" s="3"/>
      <c r="G319" s="3"/>
      <c r="H319" s="8"/>
      <c r="I319" s="8"/>
      <c r="J319" s="8"/>
      <c r="K319" s="8"/>
      <c r="L319" s="8"/>
      <c r="M319" s="8"/>
      <c r="N319" s="8"/>
      <c r="O319" s="8"/>
      <c r="P319" s="8"/>
      <c r="Q319" s="8"/>
      <c r="R319" s="8"/>
      <c r="S319" s="3"/>
      <c r="T319" s="3"/>
      <c r="V319" s="3"/>
      <c r="W319" s="3"/>
      <c r="X319" s="3"/>
      <c r="Y319" s="3"/>
      <c r="AA319" s="8"/>
      <c r="AB319" s="8"/>
      <c r="AC319" s="8"/>
      <c r="AD319" s="8"/>
      <c r="AE319" s="8"/>
      <c r="AF319" s="8"/>
      <c r="AG319" s="8"/>
      <c r="AH319" s="8"/>
      <c r="AI319" s="8"/>
      <c r="AJ319" s="8"/>
      <c r="AK319" s="8"/>
    </row>
    <row r="320" spans="2:72" ht="12.95" customHeight="1">
      <c r="B320" s="4" t="s">
        <v>907</v>
      </c>
      <c r="C320" s="3"/>
      <c r="D320" s="3"/>
      <c r="E320" s="3"/>
      <c r="F320" s="3"/>
      <c r="H320" s="1358" t="s">
        <v>2692</v>
      </c>
      <c r="I320" s="1359"/>
      <c r="J320" s="1359"/>
      <c r="K320" s="1359"/>
      <c r="L320" s="1359"/>
      <c r="M320" s="1359"/>
      <c r="N320" s="1359"/>
      <c r="O320" s="1359"/>
      <c r="P320" s="1359"/>
      <c r="Q320" s="1359"/>
      <c r="R320" s="1359"/>
      <c r="S320" s="3"/>
      <c r="T320" s="3" t="s">
        <v>365</v>
      </c>
      <c r="V320" s="3"/>
      <c r="W320" s="3"/>
      <c r="X320" s="3"/>
      <c r="Y320" s="3"/>
      <c r="AA320" s="1358" t="s">
        <v>2703</v>
      </c>
      <c r="AB320" s="1359"/>
      <c r="AC320" s="1359"/>
      <c r="AD320" s="1359"/>
      <c r="AE320" s="1359"/>
      <c r="AF320" s="1359"/>
      <c r="AG320" s="1359"/>
      <c r="AH320" s="1359"/>
      <c r="AI320" s="1359"/>
      <c r="AJ320" s="1359"/>
      <c r="AK320" s="1359"/>
    </row>
    <row r="321" spans="2:37" ht="12.95" customHeight="1">
      <c r="B321" s="3" t="s">
        <v>471</v>
      </c>
      <c r="C321" s="3"/>
      <c r="D321" s="3"/>
      <c r="E321" s="3"/>
      <c r="F321" s="3"/>
      <c r="H321" s="1441" t="s">
        <v>2693</v>
      </c>
      <c r="I321" s="1399"/>
      <c r="J321" s="1399"/>
      <c r="K321" s="1399"/>
      <c r="L321" s="1399"/>
      <c r="M321" s="1399"/>
      <c r="N321" s="1399"/>
      <c r="O321" s="1399"/>
      <c r="P321" s="1399"/>
      <c r="Q321" s="1399"/>
      <c r="R321" s="1399"/>
      <c r="S321" s="3"/>
      <c r="T321" s="3" t="s">
        <v>471</v>
      </c>
      <c r="V321" s="3"/>
      <c r="W321" s="3"/>
      <c r="X321" s="3"/>
      <c r="Y321" s="3"/>
      <c r="AA321" s="1441" t="s">
        <v>2704</v>
      </c>
      <c r="AB321" s="1399"/>
      <c r="AC321" s="1399"/>
      <c r="AD321" s="1399"/>
      <c r="AE321" s="1399"/>
      <c r="AF321" s="1399"/>
      <c r="AG321" s="1399"/>
      <c r="AH321" s="1399"/>
      <c r="AI321" s="1399"/>
      <c r="AJ321" s="1399"/>
      <c r="AK321" s="1399"/>
    </row>
    <row r="322" spans="2:37" ht="12.95" customHeight="1">
      <c r="B322" s="3" t="s">
        <v>472</v>
      </c>
      <c r="C322" s="3"/>
      <c r="D322" s="3"/>
      <c r="E322" s="3"/>
      <c r="F322" s="3"/>
      <c r="H322" s="1441" t="s">
        <v>2694</v>
      </c>
      <c r="I322" s="1399"/>
      <c r="J322" s="1399"/>
      <c r="K322" s="1399"/>
      <c r="L322" s="1399"/>
      <c r="M322" s="1399"/>
      <c r="N322" s="1399"/>
      <c r="O322" s="1399"/>
      <c r="P322" s="1399"/>
      <c r="Q322" s="1399"/>
      <c r="R322" s="1399"/>
      <c r="S322" s="3"/>
      <c r="T322" s="3" t="s">
        <v>75</v>
      </c>
      <c r="V322" s="3"/>
      <c r="W322" s="3"/>
      <c r="X322" s="3"/>
      <c r="Y322" s="3"/>
      <c r="AA322" s="1441" t="s">
        <v>2705</v>
      </c>
      <c r="AB322" s="1399"/>
      <c r="AC322" s="1399"/>
      <c r="AD322" s="1399"/>
      <c r="AE322" s="1399"/>
      <c r="AF322" s="1399"/>
      <c r="AG322" s="1399"/>
      <c r="AH322" s="1399"/>
      <c r="AI322" s="1399"/>
      <c r="AJ322" s="1399"/>
      <c r="AK322" s="1399"/>
    </row>
    <row r="323" spans="2:37" ht="12.95" customHeight="1">
      <c r="B323" s="3" t="s">
        <v>87</v>
      </c>
      <c r="C323" s="3"/>
      <c r="D323" s="3"/>
      <c r="E323" s="3"/>
      <c r="F323" s="3"/>
      <c r="H323" s="1441" t="s">
        <v>2695</v>
      </c>
      <c r="I323" s="1399"/>
      <c r="J323" s="1399"/>
      <c r="K323" s="1399"/>
      <c r="L323" s="1399"/>
      <c r="M323" s="1399"/>
      <c r="N323" s="1399"/>
      <c r="O323" s="1399"/>
      <c r="P323" s="1399"/>
      <c r="Q323" s="1399"/>
      <c r="R323" s="1399"/>
      <c r="S323" s="3"/>
      <c r="T323" s="3" t="s">
        <v>87</v>
      </c>
      <c r="V323" s="3"/>
      <c r="W323" s="3"/>
      <c r="X323" s="3"/>
      <c r="Y323" s="3"/>
      <c r="AA323" s="1441" t="s">
        <v>2706</v>
      </c>
      <c r="AB323" s="1399"/>
      <c r="AC323" s="1399"/>
      <c r="AD323" s="1399"/>
      <c r="AE323" s="1399"/>
      <c r="AF323" s="1399"/>
      <c r="AG323" s="1399"/>
      <c r="AH323" s="1399"/>
      <c r="AI323" s="1399"/>
      <c r="AJ323" s="1399"/>
      <c r="AK323" s="1399"/>
    </row>
    <row r="324" spans="2:37" ht="12.95" customHeight="1">
      <c r="B324" s="3" t="s">
        <v>88</v>
      </c>
      <c r="C324" s="3"/>
      <c r="D324" s="3"/>
      <c r="E324" s="3"/>
      <c r="F324" s="3"/>
      <c r="G324" s="3"/>
      <c r="H324" s="1451" t="s">
        <v>2696</v>
      </c>
      <c r="I324" s="1452"/>
      <c r="J324" s="1452"/>
      <c r="K324" s="1452"/>
      <c r="L324" s="1452"/>
      <c r="M324" s="1452"/>
      <c r="N324" s="4" t="s">
        <v>206</v>
      </c>
      <c r="O324" s="4"/>
      <c r="P324" s="1440"/>
      <c r="Q324" s="1440"/>
      <c r="R324" s="1440"/>
      <c r="S324" s="3"/>
      <c r="T324" s="3" t="s">
        <v>88</v>
      </c>
      <c r="V324" s="3"/>
      <c r="W324" s="3"/>
      <c r="X324" s="3"/>
      <c r="Y324" s="3"/>
      <c r="AA324" s="1451" t="s">
        <v>2707</v>
      </c>
      <c r="AB324" s="1452"/>
      <c r="AC324" s="1452"/>
      <c r="AD324" s="1452"/>
      <c r="AE324" s="1452"/>
      <c r="AF324" s="1452"/>
      <c r="AG324" s="4" t="s">
        <v>206</v>
      </c>
      <c r="AH324" s="4"/>
      <c r="AI324" s="1440"/>
      <c r="AJ324" s="1440"/>
      <c r="AK324" s="1440"/>
    </row>
    <row r="325" spans="2:37" ht="12.95" customHeight="1">
      <c r="B325" s="3" t="s">
        <v>89</v>
      </c>
      <c r="C325" s="3"/>
      <c r="D325" s="3"/>
      <c r="E325" s="3"/>
      <c r="F325" s="3"/>
      <c r="G325" s="3"/>
      <c r="H325" s="1329"/>
      <c r="I325" s="1329"/>
      <c r="J325" s="1329"/>
      <c r="K325" s="1329"/>
      <c r="L325" s="1329"/>
      <c r="M325" s="1329"/>
      <c r="N325" s="4"/>
      <c r="O325" s="4"/>
      <c r="P325" s="35"/>
      <c r="Q325" s="35"/>
      <c r="R325" s="35"/>
      <c r="S325" s="3"/>
      <c r="T325" s="3" t="s">
        <v>89</v>
      </c>
      <c r="V325" s="3"/>
      <c r="W325" s="3"/>
      <c r="X325" s="3"/>
      <c r="Y325" s="3"/>
      <c r="AA325" s="1329"/>
      <c r="AB325" s="1329"/>
      <c r="AC325" s="1329"/>
      <c r="AD325" s="1329"/>
      <c r="AE325" s="1329"/>
      <c r="AF325" s="1329"/>
      <c r="AG325" s="4"/>
      <c r="AH325" s="4"/>
      <c r="AI325" s="35"/>
      <c r="AJ325" s="35"/>
      <c r="AK325" s="35"/>
    </row>
    <row r="326" spans="2:37" ht="12.95" customHeight="1">
      <c r="B326" s="3" t="s">
        <v>76</v>
      </c>
      <c r="C326" s="3"/>
      <c r="D326" s="3"/>
      <c r="E326" s="3"/>
      <c r="F326" s="3"/>
      <c r="G326" s="3"/>
      <c r="H326" s="1441" t="s">
        <v>2697</v>
      </c>
      <c r="I326" s="1399"/>
      <c r="J326" s="1399"/>
      <c r="K326" s="1399"/>
      <c r="L326" s="1399"/>
      <c r="M326" s="1399"/>
      <c r="N326" s="1359"/>
      <c r="O326" s="1359"/>
      <c r="P326" s="1359"/>
      <c r="Q326" s="1359"/>
      <c r="R326" s="1359"/>
      <c r="S326" s="3"/>
      <c r="T326" s="3" t="s">
        <v>76</v>
      </c>
      <c r="V326" s="3"/>
      <c r="W326" s="3"/>
      <c r="X326" s="3"/>
      <c r="Y326" s="3"/>
      <c r="AA326" s="1441" t="s">
        <v>2708</v>
      </c>
      <c r="AB326" s="1399"/>
      <c r="AC326" s="1399"/>
      <c r="AD326" s="1399"/>
      <c r="AE326" s="1399"/>
      <c r="AF326" s="1399"/>
      <c r="AG326" s="1359"/>
      <c r="AH326" s="1359"/>
      <c r="AI326" s="1359"/>
      <c r="AJ326" s="1359"/>
      <c r="AK326" s="1359"/>
    </row>
    <row r="327" spans="2:37" ht="12.95" customHeight="1"/>
    <row r="328" spans="2:37" ht="12.95" customHeight="1">
      <c r="B328" s="4" t="s">
        <v>908</v>
      </c>
      <c r="C328" s="3"/>
      <c r="D328" s="3"/>
      <c r="E328" s="3"/>
      <c r="F328" s="3"/>
      <c r="H328" s="1359"/>
      <c r="I328" s="1359"/>
      <c r="J328" s="1359"/>
      <c r="K328" s="1359"/>
      <c r="L328" s="1359"/>
      <c r="M328" s="1359"/>
      <c r="N328" s="1359"/>
      <c r="O328" s="1359"/>
      <c r="P328" s="1359"/>
      <c r="Q328" s="1359"/>
      <c r="R328" s="1359"/>
      <c r="T328" s="3" t="s">
        <v>366</v>
      </c>
      <c r="V328" s="3"/>
      <c r="W328" s="3"/>
      <c r="X328" s="3"/>
      <c r="Y328" s="3"/>
      <c r="AA328" s="1358" t="s">
        <v>2709</v>
      </c>
      <c r="AB328" s="1359"/>
      <c r="AC328" s="1359"/>
      <c r="AD328" s="1359"/>
      <c r="AE328" s="1359"/>
      <c r="AF328" s="1359"/>
      <c r="AG328" s="1359"/>
      <c r="AH328" s="1359"/>
      <c r="AI328" s="1359"/>
      <c r="AJ328" s="1359"/>
      <c r="AK328" s="1359"/>
    </row>
    <row r="329" spans="2:37" ht="12.95" customHeight="1">
      <c r="B329" s="3" t="s">
        <v>471</v>
      </c>
      <c r="C329" s="3"/>
      <c r="D329" s="3"/>
      <c r="E329" s="3"/>
      <c r="F329" s="3"/>
      <c r="H329" s="1399"/>
      <c r="I329" s="1399"/>
      <c r="J329" s="1399"/>
      <c r="K329" s="1399"/>
      <c r="L329" s="1399"/>
      <c r="M329" s="1399"/>
      <c r="N329" s="1399"/>
      <c r="O329" s="1399"/>
      <c r="P329" s="1399"/>
      <c r="Q329" s="1399"/>
      <c r="R329" s="1399"/>
      <c r="T329" s="3" t="s">
        <v>471</v>
      </c>
      <c r="V329" s="3"/>
      <c r="W329" s="3"/>
      <c r="X329" s="3"/>
      <c r="Y329" s="3"/>
      <c r="AA329" s="1441" t="s">
        <v>2710</v>
      </c>
      <c r="AB329" s="1399"/>
      <c r="AC329" s="1399"/>
      <c r="AD329" s="1399"/>
      <c r="AE329" s="1399"/>
      <c r="AF329" s="1399"/>
      <c r="AG329" s="1399"/>
      <c r="AH329" s="1399"/>
      <c r="AI329" s="1399"/>
      <c r="AJ329" s="1399"/>
      <c r="AK329" s="1399"/>
    </row>
    <row r="330" spans="2:37" ht="12.95" customHeight="1">
      <c r="B330" s="3" t="s">
        <v>472</v>
      </c>
      <c r="C330" s="3"/>
      <c r="D330" s="3"/>
      <c r="E330" s="3"/>
      <c r="F330" s="3"/>
      <c r="H330" s="1399"/>
      <c r="I330" s="1399"/>
      <c r="J330" s="1399"/>
      <c r="K330" s="1399"/>
      <c r="L330" s="1399"/>
      <c r="M330" s="1399"/>
      <c r="N330" s="1399"/>
      <c r="O330" s="1399"/>
      <c r="P330" s="1399"/>
      <c r="Q330" s="1399"/>
      <c r="R330" s="1399"/>
      <c r="T330" s="3" t="s">
        <v>75</v>
      </c>
      <c r="V330" s="3"/>
      <c r="W330" s="3"/>
      <c r="X330" s="3"/>
      <c r="Y330" s="3"/>
      <c r="AA330" s="1441" t="s">
        <v>2711</v>
      </c>
      <c r="AB330" s="1399"/>
      <c r="AC330" s="1399"/>
      <c r="AD330" s="1399"/>
      <c r="AE330" s="1399"/>
      <c r="AF330" s="1399"/>
      <c r="AG330" s="1399"/>
      <c r="AH330" s="1399"/>
      <c r="AI330" s="1399"/>
      <c r="AJ330" s="1399"/>
      <c r="AK330" s="1399"/>
    </row>
    <row r="331" spans="2:37" ht="12.95" customHeight="1">
      <c r="B331" s="3" t="s">
        <v>87</v>
      </c>
      <c r="C331" s="3"/>
      <c r="D331" s="3"/>
      <c r="E331" s="3"/>
      <c r="F331" s="3"/>
      <c r="H331" s="1399"/>
      <c r="I331" s="1399"/>
      <c r="J331" s="1399"/>
      <c r="K331" s="1399"/>
      <c r="L331" s="1399"/>
      <c r="M331" s="1399"/>
      <c r="N331" s="1399"/>
      <c r="O331" s="1399"/>
      <c r="P331" s="1399"/>
      <c r="Q331" s="1399"/>
      <c r="R331" s="1399"/>
      <c r="T331" s="3" t="s">
        <v>87</v>
      </c>
      <c r="V331" s="3"/>
      <c r="W331" s="3"/>
      <c r="X331" s="3"/>
      <c r="Y331" s="3"/>
      <c r="AA331" s="1441" t="s">
        <v>2712</v>
      </c>
      <c r="AB331" s="1399"/>
      <c r="AC331" s="1399"/>
      <c r="AD331" s="1399"/>
      <c r="AE331" s="1399"/>
      <c r="AF331" s="1399"/>
      <c r="AG331" s="1399"/>
      <c r="AH331" s="1399"/>
      <c r="AI331" s="1399"/>
      <c r="AJ331" s="1399"/>
      <c r="AK331" s="1399"/>
    </row>
    <row r="332" spans="2:37" ht="12.95" customHeight="1">
      <c r="B332" s="3" t="s">
        <v>88</v>
      </c>
      <c r="C332" s="3"/>
      <c r="D332" s="3"/>
      <c r="E332" s="3"/>
      <c r="F332" s="3"/>
      <c r="G332" s="3"/>
      <c r="H332" s="1452"/>
      <c r="I332" s="1452"/>
      <c r="J332" s="1452"/>
      <c r="K332" s="1452"/>
      <c r="L332" s="1452"/>
      <c r="M332" s="1452"/>
      <c r="N332" s="4" t="s">
        <v>206</v>
      </c>
      <c r="O332" s="4"/>
      <c r="P332" s="1440"/>
      <c r="Q332" s="1440"/>
      <c r="R332" s="1440"/>
      <c r="S332" s="3"/>
      <c r="T332" s="3" t="s">
        <v>88</v>
      </c>
      <c r="V332" s="3"/>
      <c r="W332" s="3"/>
      <c r="X332" s="3"/>
      <c r="Y332" s="3"/>
      <c r="AA332" s="1451" t="s">
        <v>2713</v>
      </c>
      <c r="AB332" s="1452"/>
      <c r="AC332" s="1452"/>
      <c r="AD332" s="1452"/>
      <c r="AE332" s="1452"/>
      <c r="AF332" s="1452"/>
      <c r="AG332" s="4" t="s">
        <v>206</v>
      </c>
      <c r="AH332" s="4"/>
      <c r="AI332" s="1440"/>
      <c r="AJ332" s="1440"/>
      <c r="AK332" s="1440"/>
    </row>
    <row r="333" spans="2:37" ht="12.95" customHeight="1">
      <c r="B333" s="3" t="s">
        <v>89</v>
      </c>
      <c r="C333" s="3"/>
      <c r="D333" s="3"/>
      <c r="E333" s="3"/>
      <c r="F333" s="3"/>
      <c r="G333" s="3"/>
      <c r="H333" s="1329"/>
      <c r="I333" s="1329"/>
      <c r="J333" s="1329"/>
      <c r="K333" s="1329"/>
      <c r="L333" s="1329"/>
      <c r="M333" s="1329"/>
      <c r="N333" s="4"/>
      <c r="O333" s="4"/>
      <c r="P333" s="35"/>
      <c r="Q333" s="35"/>
      <c r="R333" s="35"/>
      <c r="S333" s="3"/>
      <c r="T333" s="3" t="s">
        <v>89</v>
      </c>
      <c r="V333" s="3"/>
      <c r="W333" s="3"/>
      <c r="X333" s="3"/>
      <c r="Y333" s="3"/>
      <c r="AA333" s="1328" t="s">
        <v>2714</v>
      </c>
      <c r="AB333" s="1329"/>
      <c r="AC333" s="1329"/>
      <c r="AD333" s="1329"/>
      <c r="AE333" s="1329"/>
      <c r="AF333" s="1329"/>
      <c r="AG333" s="4"/>
      <c r="AH333" s="4"/>
      <c r="AI333" s="35"/>
      <c r="AJ333" s="35"/>
      <c r="AK333" s="35"/>
    </row>
    <row r="334" spans="2:37" ht="12.95" customHeight="1">
      <c r="B334" s="3" t="s">
        <v>76</v>
      </c>
      <c r="C334" s="3"/>
      <c r="D334" s="3"/>
      <c r="E334" s="3"/>
      <c r="F334" s="3"/>
      <c r="G334" s="3"/>
      <c r="H334" s="1399"/>
      <c r="I334" s="1399"/>
      <c r="J334" s="1399"/>
      <c r="K334" s="1399"/>
      <c r="L334" s="1399"/>
      <c r="M334" s="1399"/>
      <c r="N334" s="1359"/>
      <c r="O334" s="1359"/>
      <c r="P334" s="1359"/>
      <c r="Q334" s="1359"/>
      <c r="R334" s="1359"/>
      <c r="S334" s="3"/>
      <c r="T334" s="3" t="s">
        <v>76</v>
      </c>
      <c r="V334" s="3"/>
      <c r="W334" s="3"/>
      <c r="X334" s="3"/>
      <c r="Y334" s="3"/>
      <c r="AA334" s="1441" t="s">
        <v>2715</v>
      </c>
      <c r="AB334" s="1399"/>
      <c r="AC334" s="1399"/>
      <c r="AD334" s="1399"/>
      <c r="AE334" s="1399"/>
      <c r="AF334" s="1399"/>
      <c r="AG334" s="1359"/>
      <c r="AH334" s="1359"/>
      <c r="AI334" s="1359"/>
      <c r="AJ334" s="1359"/>
      <c r="AK334" s="1359"/>
    </row>
    <row r="335" spans="2:37" ht="12.95" customHeight="1">
      <c r="B335" s="3"/>
      <c r="C335" s="3"/>
      <c r="D335" s="3"/>
      <c r="E335" s="3"/>
      <c r="F335" s="3"/>
      <c r="G335" s="3"/>
      <c r="P335" s="163"/>
      <c r="Q335" s="163"/>
      <c r="R335" s="163"/>
      <c r="S335" s="163"/>
      <c r="T335" s="163"/>
      <c r="U335" s="163"/>
      <c r="V335" s="4"/>
      <c r="W335" s="4"/>
      <c r="X335" s="35"/>
      <c r="Y335" s="35"/>
      <c r="Z335" s="35"/>
    </row>
    <row r="336" spans="2:37" ht="12.95" customHeight="1">
      <c r="B336" s="3" t="s">
        <v>367</v>
      </c>
      <c r="C336" s="3"/>
      <c r="D336" s="3"/>
      <c r="E336" s="3"/>
      <c r="F336" s="3"/>
      <c r="H336" s="1359"/>
      <c r="I336" s="1359"/>
      <c r="J336" s="1359"/>
      <c r="K336" s="1359"/>
      <c r="L336" s="1359"/>
      <c r="M336" s="1359"/>
      <c r="N336" s="1359"/>
      <c r="O336" s="1359"/>
      <c r="P336" s="1359"/>
      <c r="Q336" s="1359"/>
      <c r="R336" s="1359"/>
      <c r="T336" s="3" t="s">
        <v>368</v>
      </c>
      <c r="V336" s="3"/>
      <c r="W336" s="3"/>
      <c r="X336" s="3"/>
      <c r="Y336" s="3"/>
      <c r="AA336" s="1359"/>
      <c r="AB336" s="1359"/>
      <c r="AC336" s="1359"/>
      <c r="AD336" s="1359"/>
      <c r="AE336" s="1359"/>
      <c r="AF336" s="1359"/>
      <c r="AG336" s="1359"/>
      <c r="AH336" s="1359"/>
      <c r="AI336" s="1359"/>
      <c r="AJ336" s="1359"/>
      <c r="AK336" s="1359"/>
    </row>
    <row r="337" spans="2:66" ht="12.95" customHeight="1">
      <c r="B337" s="3" t="s">
        <v>471</v>
      </c>
      <c r="C337" s="3"/>
      <c r="D337" s="3"/>
      <c r="E337" s="3"/>
      <c r="F337" s="3"/>
      <c r="H337" s="1399"/>
      <c r="I337" s="1399"/>
      <c r="J337" s="1399"/>
      <c r="K337" s="1399"/>
      <c r="L337" s="1399"/>
      <c r="M337" s="1399"/>
      <c r="N337" s="1399"/>
      <c r="O337" s="1399"/>
      <c r="P337" s="1399"/>
      <c r="Q337" s="1399"/>
      <c r="R337" s="1399"/>
      <c r="T337" s="3" t="s">
        <v>471</v>
      </c>
      <c r="V337" s="3"/>
      <c r="W337" s="3"/>
      <c r="X337" s="3"/>
      <c r="Y337" s="3"/>
      <c r="AA337" s="1399"/>
      <c r="AB337" s="1399"/>
      <c r="AC337" s="1399"/>
      <c r="AD337" s="1399"/>
      <c r="AE337" s="1399"/>
      <c r="AF337" s="1399"/>
      <c r="AG337" s="1399"/>
      <c r="AH337" s="1399"/>
      <c r="AI337" s="1399"/>
      <c r="AJ337" s="1399"/>
      <c r="AK337" s="1399"/>
    </row>
    <row r="338" spans="2:66" ht="12.95" customHeight="1">
      <c r="B338" s="3" t="s">
        <v>472</v>
      </c>
      <c r="C338" s="3"/>
      <c r="D338" s="3"/>
      <c r="E338" s="3"/>
      <c r="F338" s="3"/>
      <c r="H338" s="1399"/>
      <c r="I338" s="1399"/>
      <c r="J338" s="1399"/>
      <c r="K338" s="1399"/>
      <c r="L338" s="1399"/>
      <c r="M338" s="1399"/>
      <c r="N338" s="1399"/>
      <c r="O338" s="1399"/>
      <c r="P338" s="1399"/>
      <c r="Q338" s="1399"/>
      <c r="R338" s="1399"/>
      <c r="T338" s="3" t="s">
        <v>75</v>
      </c>
      <c r="V338" s="3"/>
      <c r="W338" s="3"/>
      <c r="X338" s="3"/>
      <c r="Y338" s="3"/>
      <c r="AA338" s="1399"/>
      <c r="AB338" s="1399"/>
      <c r="AC338" s="1399"/>
      <c r="AD338" s="1399"/>
      <c r="AE338" s="1399"/>
      <c r="AF338" s="1399"/>
      <c r="AG338" s="1399"/>
      <c r="AH338" s="1399"/>
      <c r="AI338" s="1399"/>
      <c r="AJ338" s="1399"/>
      <c r="AK338" s="1399"/>
    </row>
    <row r="339" spans="2:66" ht="12.95" customHeight="1">
      <c r="B339" s="3" t="s">
        <v>87</v>
      </c>
      <c r="C339" s="3"/>
      <c r="D339" s="3"/>
      <c r="E339" s="3"/>
      <c r="F339" s="3"/>
      <c r="H339" s="1399"/>
      <c r="I339" s="1399"/>
      <c r="J339" s="1399"/>
      <c r="K339" s="1399"/>
      <c r="L339" s="1399"/>
      <c r="M339" s="1399"/>
      <c r="N339" s="1399"/>
      <c r="O339" s="1399"/>
      <c r="P339" s="1399"/>
      <c r="Q339" s="1399"/>
      <c r="R339" s="1399"/>
      <c r="T339" s="3" t="s">
        <v>87</v>
      </c>
      <c r="V339" s="3"/>
      <c r="W339" s="3"/>
      <c r="X339" s="3"/>
      <c r="Y339" s="3"/>
      <c r="AA339" s="1399"/>
      <c r="AB339" s="1399"/>
      <c r="AC339" s="1399"/>
      <c r="AD339" s="1399"/>
      <c r="AE339" s="1399"/>
      <c r="AF339" s="1399"/>
      <c r="AG339" s="1399"/>
      <c r="AH339" s="1399"/>
      <c r="AI339" s="1399"/>
      <c r="AJ339" s="1399"/>
      <c r="AK339" s="1399"/>
    </row>
    <row r="340" spans="2:66" ht="12.95" customHeight="1">
      <c r="B340" s="3" t="s">
        <v>88</v>
      </c>
      <c r="C340" s="3"/>
      <c r="D340" s="3"/>
      <c r="E340" s="3"/>
      <c r="F340" s="3"/>
      <c r="G340" s="3"/>
      <c r="H340" s="1452"/>
      <c r="I340" s="1452"/>
      <c r="J340" s="1452"/>
      <c r="K340" s="1452"/>
      <c r="L340" s="1452"/>
      <c r="M340" s="1452"/>
      <c r="N340" s="4" t="s">
        <v>206</v>
      </c>
      <c r="O340" s="4"/>
      <c r="P340" s="1440"/>
      <c r="Q340" s="1440"/>
      <c r="R340" s="1440"/>
      <c r="S340" s="3"/>
      <c r="T340" s="3" t="s">
        <v>88</v>
      </c>
      <c r="V340" s="3"/>
      <c r="W340" s="3"/>
      <c r="X340" s="3"/>
      <c r="Y340" s="3"/>
      <c r="AA340" s="1452"/>
      <c r="AB340" s="1452"/>
      <c r="AC340" s="1452"/>
      <c r="AD340" s="1452"/>
      <c r="AE340" s="1452"/>
      <c r="AF340" s="1452"/>
      <c r="AG340" s="4" t="s">
        <v>206</v>
      </c>
      <c r="AH340" s="4"/>
      <c r="AI340" s="1440"/>
      <c r="AJ340" s="1440"/>
      <c r="AK340" s="1440"/>
    </row>
    <row r="341" spans="2:66" ht="12.95" customHeight="1">
      <c r="B341" s="3" t="s">
        <v>89</v>
      </c>
      <c r="C341" s="3"/>
      <c r="D341" s="3"/>
      <c r="E341" s="3"/>
      <c r="F341" s="3"/>
      <c r="G341" s="3"/>
      <c r="H341" s="1329"/>
      <c r="I341" s="1329"/>
      <c r="J341" s="1329"/>
      <c r="K341" s="1329"/>
      <c r="L341" s="1329"/>
      <c r="M341" s="1329"/>
      <c r="N341" s="4"/>
      <c r="O341" s="4"/>
      <c r="P341" s="35"/>
      <c r="Q341" s="35"/>
      <c r="R341" s="35"/>
      <c r="S341" s="3"/>
      <c r="T341" s="3" t="s">
        <v>89</v>
      </c>
      <c r="V341" s="3"/>
      <c r="W341" s="3"/>
      <c r="X341" s="3"/>
      <c r="Y341" s="3"/>
      <c r="AA341" s="1329"/>
      <c r="AB341" s="1329"/>
      <c r="AC341" s="1329"/>
      <c r="AD341" s="1329"/>
      <c r="AE341" s="1329"/>
      <c r="AF341" s="1329"/>
      <c r="AG341" s="4"/>
      <c r="AH341" s="4"/>
      <c r="AI341" s="35"/>
      <c r="AJ341" s="35"/>
      <c r="AK341" s="35"/>
    </row>
    <row r="342" spans="2:66" ht="12.95" customHeight="1">
      <c r="B342" s="3" t="s">
        <v>76</v>
      </c>
      <c r="C342" s="3"/>
      <c r="D342" s="3"/>
      <c r="E342" s="3"/>
      <c r="F342" s="3"/>
      <c r="G342" s="3"/>
      <c r="H342" s="1399"/>
      <c r="I342" s="1399"/>
      <c r="J342" s="1399"/>
      <c r="K342" s="1399"/>
      <c r="L342" s="1399"/>
      <c r="M342" s="1399"/>
      <c r="N342" s="1359"/>
      <c r="O342" s="1359"/>
      <c r="P342" s="1359"/>
      <c r="Q342" s="1359"/>
      <c r="R342" s="1359"/>
      <c r="S342" s="3"/>
      <c r="T342" s="3" t="s">
        <v>76</v>
      </c>
      <c r="V342" s="3"/>
      <c r="W342" s="3"/>
      <c r="X342" s="3"/>
      <c r="Y342" s="3"/>
      <c r="AA342" s="1399"/>
      <c r="AB342" s="1399"/>
      <c r="AC342" s="1399"/>
      <c r="AD342" s="1399"/>
      <c r="AE342" s="1399"/>
      <c r="AF342" s="1399"/>
      <c r="AG342" s="1359"/>
      <c r="AH342" s="1359"/>
      <c r="AI342" s="1359"/>
      <c r="AJ342" s="1359"/>
      <c r="AK342" s="1359"/>
    </row>
    <row r="343" spans="2:66" ht="12.95" customHeight="1">
      <c r="B343" s="3"/>
      <c r="C343" s="3"/>
      <c r="D343" s="3"/>
      <c r="E343" s="3"/>
      <c r="F343" s="3"/>
      <c r="G343" s="3"/>
      <c r="P343" s="163"/>
      <c r="Q343" s="163"/>
      <c r="R343" s="163"/>
      <c r="S343" s="163"/>
      <c r="T343" s="163"/>
      <c r="U343" s="163"/>
      <c r="V343" s="4"/>
      <c r="W343" s="4"/>
      <c r="X343" s="35"/>
      <c r="Y343" s="35"/>
      <c r="Z343" s="35"/>
    </row>
    <row r="344" spans="2:66" ht="12.95" customHeight="1">
      <c r="B344" s="3" t="s">
        <v>329</v>
      </c>
      <c r="C344" s="3"/>
      <c r="D344" s="3"/>
      <c r="E344" s="3"/>
      <c r="F344" s="3"/>
      <c r="H344" s="1358" t="s">
        <v>2716</v>
      </c>
      <c r="I344" s="1359"/>
      <c r="J344" s="1359"/>
      <c r="K344" s="1359"/>
      <c r="L344" s="1359"/>
      <c r="M344" s="1359"/>
      <c r="N344" s="1359"/>
      <c r="O344" s="1359"/>
      <c r="P344" s="1359"/>
      <c r="Q344" s="1359"/>
      <c r="R344" s="1359"/>
      <c r="T344" s="204" t="s">
        <v>886</v>
      </c>
      <c r="V344" s="3"/>
      <c r="W344" s="3"/>
      <c r="X344" s="3"/>
      <c r="Y344" s="3"/>
      <c r="AA344" s="1358" t="s">
        <v>2723</v>
      </c>
      <c r="AB344" s="1359"/>
      <c r="AC344" s="1359"/>
      <c r="AD344" s="1359"/>
      <c r="AE344" s="1359"/>
      <c r="AF344" s="1359"/>
      <c r="AG344" s="1359"/>
      <c r="AH344" s="1359"/>
      <c r="AI344" s="1359"/>
      <c r="AJ344" s="1359"/>
      <c r="AK344" s="1359"/>
    </row>
    <row r="345" spans="2:66" ht="12.95" customHeight="1">
      <c r="B345" s="3" t="s">
        <v>471</v>
      </c>
      <c r="C345" s="3"/>
      <c r="D345" s="3"/>
      <c r="E345" s="3"/>
      <c r="F345" s="3"/>
      <c r="H345" s="1441" t="s">
        <v>2717</v>
      </c>
      <c r="I345" s="1399"/>
      <c r="J345" s="1399"/>
      <c r="K345" s="1399"/>
      <c r="L345" s="1399"/>
      <c r="M345" s="1399"/>
      <c r="N345" s="1399"/>
      <c r="O345" s="1399"/>
      <c r="P345" s="1399"/>
      <c r="Q345" s="1399"/>
      <c r="R345" s="1399"/>
      <c r="T345" s="3" t="s">
        <v>471</v>
      </c>
      <c r="V345" s="3"/>
      <c r="W345" s="3"/>
      <c r="X345" s="3"/>
      <c r="Y345" s="3"/>
      <c r="AA345" s="1441" t="s">
        <v>2647</v>
      </c>
      <c r="AB345" s="1399"/>
      <c r="AC345" s="1399"/>
      <c r="AD345" s="1399"/>
      <c r="AE345" s="1399"/>
      <c r="AF345" s="1399"/>
      <c r="AG345" s="1399"/>
      <c r="AH345" s="1399"/>
      <c r="AI345" s="1399"/>
      <c r="AJ345" s="1399"/>
      <c r="AK345" s="1399"/>
    </row>
    <row r="346" spans="2:66" ht="12.95" customHeight="1">
      <c r="B346" s="3" t="s">
        <v>75</v>
      </c>
      <c r="C346" s="3"/>
      <c r="D346" s="3"/>
      <c r="E346" s="3"/>
      <c r="F346" s="3"/>
      <c r="H346" s="1441" t="s">
        <v>2718</v>
      </c>
      <c r="I346" s="1399"/>
      <c r="J346" s="1399"/>
      <c r="K346" s="1399"/>
      <c r="L346" s="1399"/>
      <c r="M346" s="1399"/>
      <c r="N346" s="1399"/>
      <c r="O346" s="1399"/>
      <c r="P346" s="1399"/>
      <c r="Q346" s="1399"/>
      <c r="R346" s="1399"/>
      <c r="T346" s="3" t="s">
        <v>75</v>
      </c>
      <c r="V346" s="3"/>
      <c r="W346" s="3"/>
      <c r="X346" s="3"/>
      <c r="Y346" s="3"/>
      <c r="AA346" s="1441" t="s">
        <v>2677</v>
      </c>
      <c r="AB346" s="1399"/>
      <c r="AC346" s="1399"/>
      <c r="AD346" s="1399"/>
      <c r="AE346" s="1399"/>
      <c r="AF346" s="1399"/>
      <c r="AG346" s="1399"/>
      <c r="AH346" s="1399"/>
      <c r="AI346" s="1399"/>
      <c r="AJ346" s="1399"/>
      <c r="AK346" s="1399"/>
    </row>
    <row r="347" spans="2:66" ht="12.95" customHeight="1">
      <c r="B347" s="3" t="s">
        <v>87</v>
      </c>
      <c r="C347" s="3"/>
      <c r="D347" s="3"/>
      <c r="E347" s="3"/>
      <c r="F347" s="3"/>
      <c r="G347" s="3"/>
      <c r="H347" s="1441" t="s">
        <v>2719</v>
      </c>
      <c r="I347" s="1399"/>
      <c r="J347" s="1399"/>
      <c r="K347" s="1399"/>
      <c r="L347" s="1399"/>
      <c r="M347" s="1399"/>
      <c r="N347" s="1399"/>
      <c r="O347" s="1399"/>
      <c r="P347" s="1399"/>
      <c r="Q347" s="1399"/>
      <c r="R347" s="1399"/>
      <c r="T347" s="3" t="s">
        <v>87</v>
      </c>
      <c r="V347" s="3"/>
      <c r="W347" s="3"/>
      <c r="X347" s="3"/>
      <c r="Y347" s="3"/>
      <c r="AA347" s="1441" t="s">
        <v>2724</v>
      </c>
      <c r="AB347" s="1399"/>
      <c r="AC347" s="1399"/>
      <c r="AD347" s="1399"/>
      <c r="AE347" s="1399"/>
      <c r="AF347" s="1399"/>
      <c r="AG347" s="1399"/>
      <c r="AH347" s="1399"/>
      <c r="AI347" s="1399"/>
      <c r="AJ347" s="1399"/>
      <c r="AK347" s="1399"/>
    </row>
    <row r="348" spans="2:66" ht="12.95" customHeight="1">
      <c r="B348" s="3" t="s">
        <v>88</v>
      </c>
      <c r="C348" s="3"/>
      <c r="D348" s="3"/>
      <c r="E348" s="3"/>
      <c r="F348" s="3"/>
      <c r="G348" s="3"/>
      <c r="H348" s="1451" t="s">
        <v>2720</v>
      </c>
      <c r="I348" s="1452"/>
      <c r="J348" s="1452"/>
      <c r="K348" s="1452"/>
      <c r="L348" s="1452"/>
      <c r="M348" s="1452"/>
      <c r="N348" s="4" t="s">
        <v>206</v>
      </c>
      <c r="O348" s="4"/>
      <c r="P348" s="1440"/>
      <c r="Q348" s="1440"/>
      <c r="R348" s="1440"/>
      <c r="S348" s="3"/>
      <c r="T348" s="3" t="s">
        <v>88</v>
      </c>
      <c r="V348" s="3"/>
      <c r="W348" s="3"/>
      <c r="X348" s="3"/>
      <c r="Y348" s="3"/>
      <c r="AA348" s="1451" t="s">
        <v>2664</v>
      </c>
      <c r="AB348" s="1452"/>
      <c r="AC348" s="1452"/>
      <c r="AD348" s="1452"/>
      <c r="AE348" s="1452"/>
      <c r="AF348" s="1452"/>
      <c r="AG348" s="4" t="s">
        <v>206</v>
      </c>
      <c r="AH348" s="4"/>
      <c r="AI348" s="1440"/>
      <c r="AJ348" s="1440"/>
      <c r="AK348" s="1440"/>
    </row>
    <row r="349" spans="2:66" ht="12.95" customHeight="1">
      <c r="B349" s="3" t="s">
        <v>89</v>
      </c>
      <c r="C349" s="3"/>
      <c r="D349" s="3"/>
      <c r="E349" s="3"/>
      <c r="F349" s="3"/>
      <c r="G349" s="3"/>
      <c r="H349" s="1328" t="s">
        <v>2721</v>
      </c>
      <c r="I349" s="1329"/>
      <c r="J349" s="1329"/>
      <c r="K349" s="1329"/>
      <c r="L349" s="1329"/>
      <c r="M349" s="1329"/>
      <c r="N349" s="4"/>
      <c r="O349" s="4"/>
      <c r="P349" s="35"/>
      <c r="Q349" s="35"/>
      <c r="R349" s="35"/>
      <c r="S349" s="3"/>
      <c r="T349" s="3" t="s">
        <v>89</v>
      </c>
      <c r="V349" s="3"/>
      <c r="W349" s="3"/>
      <c r="X349" s="3"/>
      <c r="Y349" s="3"/>
      <c r="AA349" s="1329"/>
      <c r="AB349" s="1329"/>
      <c r="AC349" s="1329"/>
      <c r="AD349" s="1329"/>
      <c r="AE349" s="1329"/>
      <c r="AF349" s="1329"/>
      <c r="AG349" s="4"/>
      <c r="AH349" s="4"/>
      <c r="AI349" s="35"/>
      <c r="AJ349" s="35"/>
      <c r="AK349" s="35"/>
    </row>
    <row r="350" spans="2:66" ht="12.95" customHeight="1">
      <c r="B350" s="3" t="s">
        <v>76</v>
      </c>
      <c r="C350" s="3"/>
      <c r="D350" s="3"/>
      <c r="E350" s="3"/>
      <c r="F350" s="3"/>
      <c r="G350" s="3"/>
      <c r="H350" s="1441" t="s">
        <v>2722</v>
      </c>
      <c r="I350" s="1399"/>
      <c r="J350" s="1399"/>
      <c r="K350" s="1399"/>
      <c r="L350" s="1399"/>
      <c r="M350" s="1399"/>
      <c r="N350" s="1359"/>
      <c r="O350" s="1359"/>
      <c r="P350" s="1359"/>
      <c r="Q350" s="1359"/>
      <c r="R350" s="1359"/>
      <c r="S350" s="3"/>
      <c r="T350" s="3" t="s">
        <v>76</v>
      </c>
      <c r="V350" s="3"/>
      <c r="W350" s="3"/>
      <c r="X350" s="3"/>
      <c r="Y350" s="3"/>
      <c r="AA350" s="1441" t="s">
        <v>2725</v>
      </c>
      <c r="AB350" s="1399"/>
      <c r="AC350" s="1399"/>
      <c r="AD350" s="1399"/>
      <c r="AE350" s="1399"/>
      <c r="AF350" s="1399"/>
      <c r="AG350" s="1359"/>
      <c r="AH350" s="1359"/>
      <c r="AI350" s="1359"/>
      <c r="AJ350" s="1359"/>
      <c r="AK350" s="1359"/>
    </row>
    <row r="351" spans="2:66" ht="12.95" customHeight="1">
      <c r="B351" s="3"/>
      <c r="C351" s="3"/>
      <c r="D351" s="3"/>
      <c r="E351" s="3"/>
      <c r="F351" s="3"/>
      <c r="G351" s="3"/>
      <c r="H351" s="8"/>
      <c r="I351" s="8"/>
      <c r="J351" s="8"/>
      <c r="K351" s="8"/>
      <c r="L351" s="8"/>
      <c r="M351" s="8"/>
      <c r="N351" s="8"/>
      <c r="O351" s="8"/>
      <c r="P351" s="8"/>
      <c r="Q351" s="8"/>
      <c r="R351" s="8"/>
      <c r="S351" s="3"/>
      <c r="T351" s="3"/>
      <c r="V351" s="3"/>
      <c r="W351" s="3"/>
      <c r="X351" s="3"/>
      <c r="Y351" s="3"/>
      <c r="AA351" s="8"/>
      <c r="AB351" s="8"/>
      <c r="AC351" s="8"/>
      <c r="AD351" s="8"/>
      <c r="AE351" s="8"/>
      <c r="AF351" s="8"/>
      <c r="AG351" s="8"/>
      <c r="AH351" s="8"/>
      <c r="AI351" s="8"/>
      <c r="AJ351" s="8"/>
      <c r="AK351" s="8"/>
      <c r="BN351" t="s">
        <v>591</v>
      </c>
    </row>
    <row r="352" spans="2:66" ht="12.95" customHeight="1">
      <c r="B352" s="3"/>
      <c r="C352" s="4"/>
      <c r="D352" s="4"/>
      <c r="E352" s="4"/>
      <c r="F352" s="4"/>
      <c r="I352" s="204" t="s">
        <v>887</v>
      </c>
      <c r="P352" s="1359"/>
      <c r="Q352" s="1359"/>
      <c r="R352" s="1359"/>
      <c r="S352" s="1359"/>
      <c r="T352" s="1359"/>
      <c r="U352" s="1359"/>
      <c r="V352" s="1359"/>
      <c r="W352" s="1359"/>
      <c r="X352" s="1359"/>
      <c r="Y352" s="1359"/>
      <c r="Z352" s="1359"/>
      <c r="AA352" s="1359"/>
      <c r="AB352" s="1359"/>
      <c r="AC352" s="1359"/>
      <c r="AD352" s="1359"/>
      <c r="AE352" s="1359"/>
      <c r="BN352" t="s">
        <v>669</v>
      </c>
    </row>
    <row r="353" spans="1:66" ht="12.95" customHeight="1">
      <c r="B353" s="4"/>
      <c r="C353" s="4"/>
      <c r="D353" s="4"/>
      <c r="E353" s="4"/>
      <c r="F353" s="4"/>
      <c r="I353" s="4" t="s">
        <v>471</v>
      </c>
      <c r="P353" s="1399"/>
      <c r="Q353" s="1399"/>
      <c r="R353" s="1399"/>
      <c r="S353" s="1399"/>
      <c r="T353" s="1399"/>
      <c r="U353" s="1399"/>
      <c r="V353" s="1399"/>
      <c r="W353" s="1399"/>
      <c r="X353" s="1399"/>
      <c r="Y353" s="1399"/>
      <c r="Z353" s="1399"/>
      <c r="AA353" s="1399"/>
      <c r="AB353" s="1399"/>
      <c r="AC353" s="1399"/>
      <c r="AD353" s="1399"/>
      <c r="AE353" s="1399"/>
      <c r="BN353" t="s">
        <v>545</v>
      </c>
    </row>
    <row r="354" spans="1:66" ht="12.95" customHeight="1">
      <c r="B354" s="4"/>
      <c r="C354" s="4"/>
      <c r="D354" s="4"/>
      <c r="E354" s="4"/>
      <c r="F354" s="4"/>
      <c r="I354" s="4" t="s">
        <v>75</v>
      </c>
      <c r="P354" s="1399"/>
      <c r="Q354" s="1399"/>
      <c r="R354" s="1399"/>
      <c r="S354" s="1399"/>
      <c r="T354" s="1399"/>
      <c r="U354" s="1399"/>
      <c r="V354" s="1399"/>
      <c r="W354" s="1399"/>
      <c r="X354" s="1399"/>
      <c r="Y354" s="1399"/>
      <c r="Z354" s="1399"/>
      <c r="AA354" s="1399"/>
      <c r="AB354" s="1399"/>
      <c r="AC354" s="1399"/>
      <c r="AD354" s="1399"/>
      <c r="AE354" s="1399"/>
    </row>
    <row r="355" spans="1:66" ht="12.95" customHeight="1">
      <c r="B355" s="4"/>
      <c r="C355" s="4"/>
      <c r="D355" s="4"/>
      <c r="E355" s="4"/>
      <c r="F355" s="4"/>
      <c r="G355" s="4"/>
      <c r="I355" s="4" t="s">
        <v>87</v>
      </c>
      <c r="P355" s="1399"/>
      <c r="Q355" s="1399"/>
      <c r="R355" s="1399"/>
      <c r="S355" s="1399"/>
      <c r="T355" s="1399"/>
      <c r="U355" s="1399"/>
      <c r="V355" s="1399"/>
      <c r="W355" s="1399"/>
      <c r="X355" s="1399"/>
      <c r="Y355" s="1399"/>
      <c r="Z355" s="1399"/>
      <c r="AA355" s="1399"/>
      <c r="AB355" s="1399"/>
      <c r="AC355" s="1399"/>
      <c r="AD355" s="1399"/>
      <c r="AE355" s="1399"/>
    </row>
    <row r="356" spans="1:66" ht="12.95" customHeight="1">
      <c r="B356" s="4"/>
      <c r="C356" s="4"/>
      <c r="D356" s="4"/>
      <c r="E356" s="4"/>
      <c r="F356" s="4"/>
      <c r="G356" s="4"/>
      <c r="H356" s="302"/>
      <c r="I356" s="4" t="s">
        <v>88</v>
      </c>
      <c r="P356" s="1329"/>
      <c r="Q356" s="1329"/>
      <c r="R356" s="1329"/>
      <c r="S356" s="1329"/>
      <c r="T356" s="1329"/>
      <c r="U356" s="1329"/>
      <c r="V356" s="1329"/>
      <c r="W356" s="1329"/>
      <c r="X356" s="1329"/>
      <c r="Y356" s="1329"/>
      <c r="Z356" s="1329"/>
      <c r="AA356" s="4" t="s">
        <v>206</v>
      </c>
      <c r="AB356" s="4"/>
      <c r="AC356" s="1416"/>
      <c r="AD356" s="1416"/>
      <c r="AE356" s="1416"/>
      <c r="AF356" s="302"/>
      <c r="AG356" s="4"/>
      <c r="AH356" s="4"/>
      <c r="AI356" s="4"/>
      <c r="AJ356" s="4"/>
      <c r="AK356" s="4"/>
    </row>
    <row r="357" spans="1:66" ht="12.95" customHeight="1">
      <c r="B357" s="4"/>
      <c r="C357" s="4"/>
      <c r="D357" s="4"/>
      <c r="E357" s="4"/>
      <c r="F357" s="4"/>
      <c r="G357" s="4"/>
      <c r="H357" s="302"/>
      <c r="I357" s="4" t="s">
        <v>89</v>
      </c>
      <c r="P357" s="1329"/>
      <c r="Q357" s="1329"/>
      <c r="R357" s="1329"/>
      <c r="S357" s="1329"/>
      <c r="T357" s="1329"/>
      <c r="U357" s="1329"/>
      <c r="V357" s="1329"/>
      <c r="W357" s="1329"/>
      <c r="X357" s="1329"/>
      <c r="Y357" s="1329"/>
      <c r="Z357" s="1329"/>
      <c r="AF357" s="302"/>
      <c r="AG357" s="4"/>
      <c r="AH357" s="4"/>
      <c r="AI357" s="35"/>
      <c r="AJ357" s="35"/>
      <c r="AK357" s="35"/>
    </row>
    <row r="358" spans="1:66" ht="12.95" customHeight="1">
      <c r="B358" s="4"/>
      <c r="C358" s="4"/>
      <c r="D358" s="4"/>
      <c r="E358" s="4"/>
      <c r="F358" s="4"/>
      <c r="G358" s="4"/>
      <c r="I358" s="4" t="s">
        <v>76</v>
      </c>
      <c r="P358" s="1359"/>
      <c r="Q358" s="1359"/>
      <c r="R358" s="1359"/>
      <c r="S358" s="1359"/>
      <c r="T358" s="1359"/>
      <c r="U358" s="1359"/>
      <c r="V358" s="1359"/>
      <c r="W358" s="1359"/>
      <c r="X358" s="1359"/>
      <c r="Y358" s="1359"/>
      <c r="Z358" s="1359"/>
      <c r="AA358" s="1359"/>
      <c r="AB358" s="1359"/>
      <c r="AC358" s="1359"/>
      <c r="AD358" s="1359"/>
      <c r="AE358" s="1359"/>
    </row>
    <row r="359" spans="1:66" ht="12.95" customHeight="1">
      <c r="T359" s="8"/>
      <c r="U359" s="8"/>
      <c r="V359" s="8"/>
      <c r="W359" s="8"/>
      <c r="X359" s="8"/>
      <c r="Y359" s="8"/>
      <c r="Z359" s="8"/>
      <c r="AU359" s="95"/>
      <c r="AV359" s="95"/>
      <c r="AW359" s="95"/>
      <c r="AX359" s="95"/>
      <c r="AY359" s="95"/>
    </row>
    <row r="360" spans="1:66" ht="12.95" customHeight="1">
      <c r="A360" s="1457" t="s">
        <v>542</v>
      </c>
      <c r="B360" s="1457"/>
      <c r="C360" s="1457"/>
      <c r="D360" s="1457"/>
      <c r="E360" s="1457"/>
      <c r="F360" s="1457"/>
      <c r="G360" s="1457"/>
      <c r="H360" s="1457"/>
      <c r="I360" s="1457"/>
      <c r="J360" s="1457"/>
      <c r="K360" s="1457"/>
      <c r="L360" s="1457"/>
      <c r="M360" s="1457"/>
      <c r="N360" s="1457"/>
      <c r="O360" s="1457"/>
      <c r="P360" s="1457"/>
      <c r="Q360" s="1457"/>
      <c r="R360" s="1457"/>
      <c r="S360" s="1457"/>
      <c r="T360" s="1457"/>
      <c r="U360" s="1457"/>
      <c r="V360" s="1457"/>
      <c r="W360" s="1457"/>
      <c r="X360" s="1457"/>
      <c r="Y360" s="1457"/>
      <c r="Z360" s="1457"/>
      <c r="AA360" s="1457"/>
      <c r="AB360" s="1457"/>
      <c r="AC360" s="1457"/>
      <c r="AD360" s="1457"/>
      <c r="AE360" s="1457"/>
      <c r="AF360" s="1457"/>
      <c r="AG360" s="1457"/>
      <c r="AH360" s="1457"/>
      <c r="AI360" s="1457"/>
      <c r="AJ360" s="1457"/>
      <c r="AK360" s="1457"/>
      <c r="AL360" s="1457"/>
      <c r="AM360" s="1457"/>
      <c r="AN360" s="1457"/>
      <c r="AO360" s="1457"/>
      <c r="AP360" s="1457"/>
      <c r="AQ360" s="1457"/>
      <c r="AR360" s="1457"/>
      <c r="AS360" s="1457"/>
      <c r="AT360" s="1457"/>
      <c r="AU360" s="95"/>
      <c r="AV360" s="95"/>
      <c r="AW360" s="95"/>
      <c r="AX360" s="95"/>
      <c r="AY360" s="95"/>
    </row>
    <row r="361" spans="1:66" ht="12.95" customHeight="1">
      <c r="A361" s="1457"/>
      <c r="B361" s="1457"/>
      <c r="C361" s="1457"/>
      <c r="D361" s="1457"/>
      <c r="E361" s="1457"/>
      <c r="F361" s="1457"/>
      <c r="G361" s="1457"/>
      <c r="H361" s="1457"/>
      <c r="I361" s="1457"/>
      <c r="J361" s="1457"/>
      <c r="K361" s="1457"/>
      <c r="L361" s="1457"/>
      <c r="M361" s="1457"/>
      <c r="N361" s="1457"/>
      <c r="O361" s="1457"/>
      <c r="P361" s="1457"/>
      <c r="Q361" s="1457"/>
      <c r="R361" s="1457"/>
      <c r="S361" s="1457"/>
      <c r="T361" s="1457"/>
      <c r="U361" s="1457"/>
      <c r="V361" s="1457"/>
      <c r="W361" s="1457"/>
      <c r="X361" s="1457"/>
      <c r="Y361" s="1457"/>
      <c r="Z361" s="1457"/>
      <c r="AA361" s="1457"/>
      <c r="AB361" s="1457"/>
      <c r="AC361" s="1457"/>
      <c r="AD361" s="1457"/>
      <c r="AE361" s="1457"/>
      <c r="AF361" s="1457"/>
      <c r="AG361" s="1457"/>
      <c r="AH361" s="1457"/>
      <c r="AI361" s="1457"/>
      <c r="AJ361" s="1457"/>
      <c r="AK361" s="1457"/>
      <c r="AL361" s="1457"/>
      <c r="AM361" s="1457"/>
      <c r="AN361" s="1457"/>
      <c r="AO361" s="1457"/>
      <c r="AP361" s="1457"/>
      <c r="AQ361" s="1457"/>
      <c r="AR361" s="1457"/>
      <c r="AS361" s="1457"/>
      <c r="AT361" s="1457"/>
      <c r="AU361" s="25"/>
      <c r="AV361" s="25"/>
      <c r="AW361" s="25"/>
      <c r="AX361" s="25"/>
      <c r="AY361" s="25"/>
    </row>
    <row r="362" spans="1:66" ht="12.95" customHeight="1">
      <c r="I362" s="4"/>
      <c r="J362" s="4"/>
      <c r="K362" s="25"/>
      <c r="L362" s="25"/>
      <c r="M362" s="25"/>
      <c r="N362" s="25"/>
      <c r="O362" s="25"/>
      <c r="P362" s="25"/>
      <c r="Q362" s="25"/>
      <c r="R362" s="25"/>
      <c r="S362" s="25"/>
      <c r="T362" s="25"/>
      <c r="U362" s="25"/>
      <c r="V362" s="25"/>
      <c r="W362" s="25"/>
      <c r="X362" s="25"/>
      <c r="Y362" s="25"/>
      <c r="Z362" s="25"/>
      <c r="AA362" s="25"/>
      <c r="AB362" s="25"/>
      <c r="AC362" s="25"/>
      <c r="AD362" s="25"/>
      <c r="AE362" s="25"/>
      <c r="AF362" s="25"/>
      <c r="AG362" s="25"/>
      <c r="AH362" s="25"/>
      <c r="AI362" s="25"/>
      <c r="AJ362" s="25"/>
      <c r="AK362" s="4"/>
      <c r="AL362" s="25"/>
      <c r="AM362" s="25"/>
      <c r="AN362" s="25"/>
      <c r="AO362" s="25"/>
      <c r="AP362" s="25"/>
      <c r="AQ362" s="25"/>
      <c r="AR362" s="25"/>
      <c r="AS362" s="25"/>
      <c r="AT362" s="25"/>
    </row>
    <row r="363" spans="1:66" ht="12.95" customHeight="1">
      <c r="A363" s="2" t="s">
        <v>319</v>
      </c>
      <c r="B363" s="2"/>
      <c r="C363" s="2" t="s">
        <v>782</v>
      </c>
    </row>
    <row r="364" spans="1:66" ht="12.95" customHeight="1">
      <c r="D364" s="3" t="s">
        <v>2053</v>
      </c>
      <c r="M364" s="1324" t="s">
        <v>545</v>
      </c>
      <c r="N364" s="1324"/>
      <c r="P364" t="s">
        <v>1639</v>
      </c>
      <c r="AJ364" s="1324" t="s">
        <v>669</v>
      </c>
      <c r="AK364" s="1324"/>
    </row>
    <row r="365" spans="1:66" ht="12.95" customHeight="1">
      <c r="D365" s="3" t="s">
        <v>1628</v>
      </c>
      <c r="M365" s="1324" t="s">
        <v>591</v>
      </c>
      <c r="N365" s="1324"/>
      <c r="P365" s="3" t="s">
        <v>1708</v>
      </c>
      <c r="AJ365" s="1410"/>
      <c r="AK365" s="1410"/>
    </row>
    <row r="366" spans="1:66" ht="12.95" customHeight="1">
      <c r="D366" s="3" t="s">
        <v>704</v>
      </c>
      <c r="M366" s="1324" t="s">
        <v>591</v>
      </c>
      <c r="N366" s="1324"/>
      <c r="P366" t="s">
        <v>1638</v>
      </c>
      <c r="AJ366" s="1324" t="s">
        <v>591</v>
      </c>
      <c r="AK366" s="1324"/>
    </row>
    <row r="367" spans="1:66" ht="12.95" customHeight="1">
      <c r="D367" s="3" t="s">
        <v>705</v>
      </c>
      <c r="M367" s="1324" t="s">
        <v>591</v>
      </c>
      <c r="N367" s="1324"/>
      <c r="Q367" s="4"/>
    </row>
    <row r="368" spans="1:66" ht="12.95" customHeight="1">
      <c r="Q368" s="4"/>
    </row>
    <row r="369" spans="1:34" ht="12.95" customHeight="1">
      <c r="Q369" s="4"/>
    </row>
    <row r="370" spans="1:34" ht="12.95" customHeight="1">
      <c r="A370" s="2" t="s">
        <v>576</v>
      </c>
      <c r="B370" s="2"/>
      <c r="C370" s="2" t="s">
        <v>552</v>
      </c>
      <c r="D370" s="2"/>
    </row>
    <row r="371" spans="1:34" ht="12.95" customHeight="1">
      <c r="D371" s="39" t="s">
        <v>185</v>
      </c>
      <c r="E371" s="40"/>
      <c r="F371" s="40"/>
      <c r="G371" s="40"/>
      <c r="H371" s="40"/>
      <c r="I371" s="40"/>
      <c r="J371" s="40"/>
      <c r="K371" s="40"/>
      <c r="L371" s="40"/>
      <c r="M371" s="40"/>
      <c r="N371" s="40"/>
      <c r="O371" s="40"/>
      <c r="P371" s="40"/>
      <c r="Q371" s="40"/>
      <c r="R371" s="40"/>
      <c r="S371" s="40"/>
      <c r="T371" s="40"/>
      <c r="U371" s="40"/>
      <c r="V371" s="40"/>
      <c r="W371" s="40"/>
      <c r="X371" s="40"/>
      <c r="Y371" s="40"/>
      <c r="Z371" s="40"/>
      <c r="AA371" s="40"/>
      <c r="AB371" s="40"/>
      <c r="AC371" s="40"/>
      <c r="AD371" s="40"/>
      <c r="AE371" s="40"/>
    </row>
    <row r="372" spans="1:34" ht="12.95" customHeight="1">
      <c r="D372" s="39" t="s">
        <v>186</v>
      </c>
      <c r="E372" s="40"/>
      <c r="F372" s="40"/>
      <c r="G372" s="40"/>
      <c r="H372" s="40"/>
      <c r="I372" s="40"/>
      <c r="J372" s="40"/>
      <c r="K372" s="40"/>
      <c r="L372" s="40"/>
      <c r="M372" s="40"/>
      <c r="N372" s="1324" t="s">
        <v>591</v>
      </c>
      <c r="O372" s="1324"/>
      <c r="P372" s="40"/>
      <c r="Q372" s="40"/>
      <c r="R372" s="40"/>
      <c r="S372" s="40"/>
      <c r="T372" s="40"/>
      <c r="U372" s="40"/>
      <c r="V372" s="40"/>
      <c r="W372" s="40"/>
      <c r="X372" s="40"/>
      <c r="Y372" s="40"/>
      <c r="Z372" s="40"/>
      <c r="AC372" s="40"/>
      <c r="AD372" s="40"/>
      <c r="AE372" s="40"/>
    </row>
    <row r="373" spans="1:34" ht="12.95" customHeight="1">
      <c r="E373" t="s">
        <v>370</v>
      </c>
      <c r="Y373" s="1324" t="s">
        <v>591</v>
      </c>
      <c r="Z373" s="1324"/>
    </row>
    <row r="374" spans="1:34" ht="12.95" customHeight="1">
      <c r="D374" s="4" t="s">
        <v>978</v>
      </c>
      <c r="Q374" s="1359"/>
      <c r="R374" s="1359"/>
      <c r="S374" s="1359"/>
      <c r="T374" s="1359"/>
      <c r="U374" s="1359"/>
      <c r="V374" s="1359"/>
      <c r="W374" s="1359"/>
      <c r="X374" s="1359"/>
      <c r="Y374" s="1359"/>
      <c r="Z374" s="1359"/>
      <c r="AA374" s="1359"/>
      <c r="AB374" s="1359"/>
      <c r="AC374" s="1359"/>
      <c r="AD374" s="1359"/>
      <c r="AE374" s="1359"/>
      <c r="AF374" s="1359"/>
      <c r="AG374" s="1359"/>
    </row>
    <row r="375" spans="1:34" ht="12.95" customHeight="1">
      <c r="D375" t="s">
        <v>187</v>
      </c>
      <c r="E375" s="40"/>
      <c r="F375" s="40"/>
      <c r="G375" s="40"/>
      <c r="H375" s="40"/>
      <c r="I375" s="40"/>
      <c r="J375" s="40"/>
      <c r="K375" s="40"/>
      <c r="L375" s="40"/>
      <c r="M375" s="40"/>
      <c r="N375" s="40"/>
      <c r="O375" s="40"/>
      <c r="P375" s="40"/>
      <c r="Q375" s="40"/>
      <c r="R375" s="40"/>
      <c r="S375" s="40"/>
      <c r="T375" s="40"/>
      <c r="U375" s="40"/>
      <c r="V375" s="40"/>
      <c r="W375" s="40"/>
      <c r="X375" s="40"/>
      <c r="Y375" s="40"/>
      <c r="Z375" s="40"/>
      <c r="AA375" s="40"/>
      <c r="AB375" s="40"/>
      <c r="AC375" s="40"/>
      <c r="AD375" s="40"/>
      <c r="AE375" s="40"/>
    </row>
    <row r="376" spans="1:34" ht="12.95" customHeight="1">
      <c r="D376" t="s">
        <v>188</v>
      </c>
      <c r="E376" s="40"/>
      <c r="F376" s="40"/>
      <c r="G376" s="40"/>
      <c r="H376" s="40"/>
      <c r="I376" s="40"/>
      <c r="J376" s="1324" t="s">
        <v>591</v>
      </c>
      <c r="K376" s="1324"/>
      <c r="L376" s="40"/>
      <c r="M376" s="40"/>
      <c r="N376" s="40"/>
      <c r="O376" s="40"/>
      <c r="P376" s="40"/>
      <c r="Q376" s="40"/>
      <c r="R376" s="40"/>
      <c r="S376" s="40"/>
      <c r="T376" s="40"/>
      <c r="U376" s="40"/>
      <c r="V376" s="40"/>
      <c r="W376" s="40"/>
      <c r="X376" s="40"/>
      <c r="Y376" s="40"/>
      <c r="Z376" s="40"/>
      <c r="AC376" s="40"/>
      <c r="AD376" s="40"/>
      <c r="AE376" s="40"/>
    </row>
    <row r="377" spans="1:34" ht="12.95" customHeight="1">
      <c r="E377" s="1442" t="s">
        <v>706</v>
      </c>
      <c r="F377" s="1442"/>
      <c r="G377" s="1442"/>
      <c r="H377" s="1442"/>
      <c r="I377" s="1442"/>
      <c r="J377" s="1442"/>
      <c r="K377" s="1442"/>
      <c r="L377" s="1442"/>
      <c r="M377" s="1442"/>
      <c r="N377" s="1442"/>
      <c r="O377" s="1442"/>
      <c r="P377" s="1442"/>
      <c r="Q377" s="1442"/>
      <c r="R377" s="1442"/>
      <c r="S377" s="1442"/>
      <c r="T377" s="1442"/>
      <c r="U377" s="1442"/>
      <c r="V377" s="1442"/>
      <c r="W377" s="1442"/>
      <c r="X377" s="1442"/>
      <c r="Y377" s="1442"/>
      <c r="Z377" s="1442"/>
      <c r="AA377" s="1442"/>
      <c r="AB377" s="1442"/>
      <c r="AC377" s="1442"/>
      <c r="AD377" s="1442"/>
      <c r="AE377" s="1442"/>
      <c r="AF377" s="1442"/>
      <c r="AG377" s="1442"/>
      <c r="AH377" s="1442"/>
    </row>
    <row r="378" spans="1:34" ht="12.95" customHeight="1">
      <c r="E378" s="1442"/>
      <c r="F378" s="1442"/>
      <c r="G378" s="1442"/>
      <c r="H378" s="1442"/>
      <c r="I378" s="1442"/>
      <c r="J378" s="1442"/>
      <c r="K378" s="1442"/>
      <c r="L378" s="1442"/>
      <c r="M378" s="1442"/>
      <c r="N378" s="1442"/>
      <c r="O378" s="1442"/>
      <c r="P378" s="1442"/>
      <c r="Q378" s="1442"/>
      <c r="R378" s="1442"/>
      <c r="S378" s="1442"/>
      <c r="T378" s="1442"/>
      <c r="U378" s="1442"/>
      <c r="V378" s="1442"/>
      <c r="W378" s="1442"/>
      <c r="X378" s="1442"/>
      <c r="Y378" s="1442"/>
      <c r="Z378" s="1442"/>
      <c r="AA378" s="1442"/>
      <c r="AB378" s="1442"/>
      <c r="AC378" s="1442"/>
      <c r="AD378" s="1442"/>
      <c r="AE378" s="1442"/>
      <c r="AF378" s="1442"/>
      <c r="AG378" s="1442"/>
      <c r="AH378" s="1442"/>
    </row>
    <row r="379" spans="1:34" ht="12.95" customHeight="1">
      <c r="E379" s="4" t="s">
        <v>448</v>
      </c>
      <c r="F379" s="4"/>
      <c r="G379" s="4"/>
      <c r="H379" s="4"/>
      <c r="I379" s="4"/>
      <c r="J379" s="4"/>
      <c r="K379" s="4"/>
      <c r="L379" s="4"/>
      <c r="N379" s="1289"/>
      <c r="O379" s="1289"/>
      <c r="P379" s="1289"/>
      <c r="Q379" s="1289"/>
      <c r="R379" s="4"/>
      <c r="U379" s="4" t="s">
        <v>449</v>
      </c>
      <c r="V379" s="4"/>
      <c r="W379" s="4"/>
      <c r="X379" s="4"/>
      <c r="Y379" s="4"/>
      <c r="Z379" s="4"/>
      <c r="AA379" s="4"/>
      <c r="AB379" s="4"/>
      <c r="AC379" s="1289"/>
      <c r="AD379" s="1289"/>
      <c r="AE379" s="1289"/>
      <c r="AF379" s="1289"/>
    </row>
    <row r="380" spans="1:34" ht="12.95" customHeight="1">
      <c r="E380" s="4" t="s">
        <v>450</v>
      </c>
      <c r="F380" s="4"/>
      <c r="G380" s="4"/>
      <c r="H380" s="4"/>
      <c r="I380" s="4"/>
      <c r="J380" s="4"/>
      <c r="K380" s="4"/>
      <c r="L380" s="4"/>
      <c r="N380" s="1289"/>
      <c r="O380" s="1289"/>
      <c r="P380" s="1289"/>
      <c r="Q380" s="1289"/>
      <c r="R380" s="4"/>
      <c r="U380" s="4" t="s">
        <v>0</v>
      </c>
      <c r="V380" s="4"/>
      <c r="W380" s="4"/>
      <c r="X380" s="4"/>
      <c r="Y380" s="4"/>
      <c r="Z380" s="4"/>
      <c r="AA380" s="4"/>
      <c r="AB380" s="4"/>
      <c r="AC380" s="1289"/>
      <c r="AD380" s="1289"/>
      <c r="AE380" s="1289"/>
      <c r="AF380" s="1289"/>
    </row>
    <row r="381" spans="1:34" ht="12.95" customHeight="1">
      <c r="E381" s="4" t="s">
        <v>1</v>
      </c>
      <c r="F381" s="4"/>
      <c r="G381" s="4"/>
      <c r="H381" s="4"/>
      <c r="I381" s="4"/>
      <c r="J381" s="4"/>
      <c r="K381" s="4"/>
      <c r="L381" s="4"/>
      <c r="N381" s="1289"/>
      <c r="O381" s="1289"/>
      <c r="P381" s="1289"/>
      <c r="Q381" s="1289"/>
      <c r="R381" s="4"/>
      <c r="V381" s="4"/>
      <c r="W381" s="4"/>
      <c r="X381" s="4"/>
      <c r="Y381" s="4"/>
      <c r="Z381" s="4"/>
      <c r="AA381" s="4"/>
      <c r="AB381" s="4"/>
    </row>
    <row r="382" spans="1:34" ht="12.95" customHeight="1">
      <c r="E382" s="4" t="s">
        <v>2</v>
      </c>
      <c r="F382" s="4"/>
      <c r="G382" s="4"/>
      <c r="H382" s="4"/>
      <c r="I382" s="4"/>
      <c r="J382" s="4"/>
      <c r="K382" s="4"/>
      <c r="L382" s="4"/>
      <c r="N382" s="1447"/>
      <c r="O382" s="1447"/>
      <c r="P382" s="1447"/>
      <c r="Q382" s="1447"/>
      <c r="R382" s="1447"/>
      <c r="S382" s="1447"/>
      <c r="T382" s="1447"/>
      <c r="U382" s="1447"/>
      <c r="V382" s="1447"/>
      <c r="W382" s="1447"/>
      <c r="X382" s="1447"/>
      <c r="Y382" s="1447"/>
      <c r="Z382" s="1447"/>
      <c r="AA382" s="1447"/>
      <c r="AB382" s="1447"/>
      <c r="AC382" s="1447"/>
      <c r="AD382" s="1447"/>
      <c r="AE382" s="1447"/>
      <c r="AF382" s="1447"/>
    </row>
    <row r="383" spans="1:34" ht="12.95" customHeight="1">
      <c r="E383" s="4"/>
      <c r="F383" s="4"/>
      <c r="G383" s="4"/>
      <c r="H383" s="4"/>
      <c r="I383" s="4"/>
      <c r="J383" s="4"/>
      <c r="K383" s="4"/>
      <c r="L383" s="4"/>
      <c r="N383" s="1448"/>
      <c r="O383" s="1448"/>
      <c r="P383" s="1448"/>
      <c r="Q383" s="1448"/>
      <c r="R383" s="1448"/>
      <c r="S383" s="1448"/>
      <c r="T383" s="1448"/>
      <c r="U383" s="1448"/>
      <c r="V383" s="1448"/>
      <c r="W383" s="1448"/>
      <c r="X383" s="1448"/>
      <c r="Y383" s="1448"/>
      <c r="Z383" s="1448"/>
      <c r="AA383" s="1448"/>
      <c r="AB383" s="1448"/>
      <c r="AC383" s="1448"/>
      <c r="AD383" s="1448"/>
      <c r="AE383" s="1448"/>
      <c r="AF383" s="1448"/>
    </row>
    <row r="384" spans="1:34" ht="12.95" customHeight="1">
      <c r="C384" s="512"/>
      <c r="E384" s="4"/>
      <c r="F384" s="4"/>
      <c r="G384" s="4"/>
      <c r="H384" s="4"/>
      <c r="I384" s="4"/>
      <c r="J384" s="4"/>
      <c r="K384" s="4"/>
      <c r="L384" s="4"/>
    </row>
    <row r="385" spans="1:36" ht="12.95" customHeight="1">
      <c r="D385" s="2" t="s">
        <v>975</v>
      </c>
      <c r="E385" s="2"/>
      <c r="F385" s="4"/>
      <c r="G385" s="4"/>
      <c r="H385" s="4"/>
      <c r="I385" s="4"/>
      <c r="J385" s="4"/>
      <c r="K385" s="4"/>
      <c r="L385" s="4"/>
    </row>
    <row r="386" spans="1:36" ht="12.95" customHeight="1">
      <c r="E386" s="4" t="s">
        <v>2039</v>
      </c>
      <c r="F386" s="4"/>
      <c r="G386" s="4"/>
      <c r="H386" s="4"/>
      <c r="I386" s="4"/>
      <c r="J386" s="4"/>
      <c r="K386" s="4"/>
      <c r="L386" s="4"/>
      <c r="N386" t="s">
        <v>2035</v>
      </c>
      <c r="R386" s="27" t="s">
        <v>305</v>
      </c>
      <c r="S386" s="1443"/>
      <c r="T386" s="1443"/>
      <c r="U386" s="1" t="s">
        <v>306</v>
      </c>
      <c r="V386" s="1443"/>
      <c r="W386" s="1443"/>
      <c r="Y386" t="s">
        <v>2035</v>
      </c>
      <c r="AC386" s="27" t="s">
        <v>305</v>
      </c>
      <c r="AD386" s="1443"/>
      <c r="AE386" s="1443"/>
      <c r="AF386" s="1" t="s">
        <v>306</v>
      </c>
      <c r="AG386" s="1443"/>
      <c r="AH386" s="1443"/>
    </row>
    <row r="387" spans="1:36" ht="12.95" customHeight="1">
      <c r="E387" s="4" t="s">
        <v>987</v>
      </c>
      <c r="F387" s="4"/>
      <c r="G387" s="4"/>
      <c r="H387" s="4"/>
      <c r="I387" s="4"/>
      <c r="J387" s="4"/>
      <c r="K387" s="4"/>
      <c r="L387" s="4"/>
      <c r="N387" s="1443"/>
      <c r="O387" s="1443"/>
      <c r="P387" s="1443"/>
    </row>
    <row r="388" spans="1:36" ht="12.95" customHeight="1">
      <c r="E388" s="204" t="s">
        <v>2040</v>
      </c>
      <c r="F388" s="4"/>
      <c r="G388" s="4"/>
      <c r="H388" s="4"/>
      <c r="I388" s="4"/>
      <c r="J388" s="4"/>
      <c r="K388" s="4"/>
      <c r="L388" s="4"/>
      <c r="AG388" s="1381" t="s">
        <v>591</v>
      </c>
      <c r="AH388" s="1381"/>
    </row>
    <row r="389" spans="1:36" ht="12.95" customHeight="1">
      <c r="E389" s="4"/>
      <c r="F389" s="4"/>
      <c r="G389" s="4" t="s">
        <v>2041</v>
      </c>
      <c r="H389" s="4"/>
      <c r="I389" s="4"/>
      <c r="J389" s="4"/>
      <c r="K389" s="4"/>
      <c r="L389" s="4"/>
      <c r="AG389" s="1381" t="s">
        <v>591</v>
      </c>
      <c r="AH389" s="1381"/>
    </row>
    <row r="390" spans="1:36" ht="12.95" customHeight="1">
      <c r="E390" s="4"/>
      <c r="F390" s="4"/>
      <c r="G390" s="320" t="s">
        <v>988</v>
      </c>
      <c r="H390" s="4"/>
      <c r="I390" s="4"/>
      <c r="J390" s="4"/>
      <c r="K390" s="4"/>
      <c r="L390" s="4"/>
      <c r="V390" s="1324" t="s">
        <v>591</v>
      </c>
      <c r="W390" s="1324"/>
      <c r="Y390" s="22" t="s">
        <v>980</v>
      </c>
    </row>
    <row r="391" spans="1:36" ht="12.95" customHeight="1">
      <c r="E391" s="4" t="s">
        <v>981</v>
      </c>
      <c r="F391" s="4"/>
      <c r="G391" s="4"/>
      <c r="H391" s="4"/>
      <c r="I391" s="4"/>
      <c r="J391" s="4"/>
      <c r="K391" s="4"/>
      <c r="L391" s="4"/>
      <c r="V391" s="1324" t="s">
        <v>591</v>
      </c>
      <c r="W391" s="1324"/>
      <c r="Y391" s="4" t="s">
        <v>982</v>
      </c>
    </row>
    <row r="392" spans="1:36" ht="12.95" customHeight="1"/>
    <row r="393" spans="1:36" ht="12.95" customHeight="1">
      <c r="A393" s="2" t="s">
        <v>78</v>
      </c>
      <c r="B393" s="2"/>
    </row>
    <row r="394" spans="1:36" ht="12.95" customHeight="1">
      <c r="D394" t="s">
        <v>428</v>
      </c>
      <c r="J394" s="1358" t="s">
        <v>2726</v>
      </c>
      <c r="K394" s="1359"/>
      <c r="L394" s="1359"/>
      <c r="M394" s="1359"/>
      <c r="N394" s="1359"/>
      <c r="O394" s="1359"/>
      <c r="P394" s="1359"/>
      <c r="Q394" s="1359"/>
      <c r="R394" s="1359"/>
      <c r="S394" s="1359"/>
      <c r="T394" s="1359"/>
      <c r="U394" s="1359"/>
      <c r="V394" s="8" t="s">
        <v>83</v>
      </c>
      <c r="W394" s="8"/>
      <c r="X394" s="8"/>
      <c r="Y394" s="8"/>
      <c r="Z394" s="8"/>
      <c r="AA394" s="8"/>
      <c r="AB394" s="8"/>
      <c r="AC394" s="1359"/>
      <c r="AD394" s="1359"/>
      <c r="AE394" s="1359"/>
      <c r="AF394" s="1359"/>
      <c r="AG394" s="1359"/>
      <c r="AH394" s="1359"/>
      <c r="AI394" s="1359"/>
      <c r="AJ394" s="1359"/>
    </row>
    <row r="395" spans="1:36" ht="12.95" customHeight="1">
      <c r="D395" s="3" t="s">
        <v>1182</v>
      </c>
      <c r="J395" s="1399"/>
      <c r="K395" s="1399"/>
      <c r="L395" s="1399"/>
      <c r="M395" s="1399"/>
      <c r="N395" s="1399"/>
      <c r="O395" s="1399"/>
      <c r="P395" s="1399"/>
      <c r="Q395" s="1399"/>
      <c r="R395" s="1399"/>
      <c r="S395" s="1399"/>
      <c r="T395" s="1399"/>
      <c r="U395" s="1399"/>
      <c r="V395" s="3" t="s">
        <v>1182</v>
      </c>
      <c r="W395" s="8"/>
      <c r="X395" s="8"/>
      <c r="Y395" s="8"/>
      <c r="Z395" s="8"/>
      <c r="AA395" s="8"/>
      <c r="AB395" s="8"/>
      <c r="AC395" s="1359"/>
      <c r="AD395" s="1359"/>
      <c r="AE395" s="1359"/>
      <c r="AF395" s="1359"/>
      <c r="AG395" s="1359"/>
      <c r="AH395" s="1359"/>
      <c r="AI395" s="1359"/>
      <c r="AJ395" s="1359"/>
    </row>
    <row r="396" spans="1:36" ht="12.95" customHeight="1">
      <c r="D396" s="3" t="s">
        <v>441</v>
      </c>
      <c r="J396" s="1399"/>
      <c r="K396" s="1399"/>
      <c r="L396" s="1399"/>
      <c r="M396" s="1399"/>
      <c r="N396" s="1399"/>
      <c r="O396" s="1399"/>
      <c r="P396" s="1399"/>
      <c r="Q396" s="1399"/>
      <c r="R396" s="1399"/>
      <c r="S396" s="1399"/>
      <c r="T396" s="1399"/>
      <c r="U396" s="1399"/>
      <c r="V396" s="3" t="s">
        <v>441</v>
      </c>
      <c r="W396" s="8"/>
      <c r="X396" s="8"/>
      <c r="Y396" s="8"/>
      <c r="Z396" s="8"/>
      <c r="AA396" s="8"/>
      <c r="AB396" s="8"/>
      <c r="AC396" s="1359"/>
      <c r="AD396" s="1359"/>
      <c r="AE396" s="1359"/>
      <c r="AF396" s="1359"/>
      <c r="AG396" s="1359"/>
      <c r="AH396" s="1359"/>
      <c r="AI396" s="1359"/>
      <c r="AJ396" s="1359"/>
    </row>
    <row r="397" spans="1:36" ht="12.95" customHeight="1">
      <c r="D397" t="s">
        <v>1178</v>
      </c>
      <c r="J397" s="1333"/>
      <c r="K397" s="1333"/>
      <c r="L397" s="1333"/>
      <c r="M397" s="1333"/>
      <c r="N397" s="1333"/>
      <c r="O397" s="1333"/>
      <c r="P397" s="1333"/>
      <c r="Q397" s="1333"/>
      <c r="R397" s="1333"/>
      <c r="S397" s="1333"/>
      <c r="T397" s="1333"/>
      <c r="U397" s="1333"/>
      <c r="V397" s="1359"/>
      <c r="W397" s="1359"/>
      <c r="X397" s="1359"/>
      <c r="Y397" s="1359"/>
      <c r="Z397" s="1359"/>
      <c r="AA397" s="1359"/>
      <c r="AB397" s="1359"/>
      <c r="AC397" s="1359"/>
      <c r="AD397" s="1359"/>
      <c r="AE397" s="1359"/>
      <c r="AF397" s="1359"/>
      <c r="AG397" s="1359"/>
      <c r="AH397" s="1359"/>
      <c r="AI397" s="1359"/>
      <c r="AJ397" s="1359"/>
    </row>
    <row r="398" spans="1:36" ht="12.95" customHeight="1">
      <c r="D398" t="s">
        <v>4</v>
      </c>
      <c r="Q398" s="1754"/>
      <c r="R398" s="1754"/>
      <c r="S398" s="1754"/>
      <c r="T398" s="1754"/>
      <c r="U398" s="1754"/>
      <c r="V398" t="s">
        <v>309</v>
      </c>
      <c r="AI398" s="1324" t="s">
        <v>669</v>
      </c>
      <c r="AJ398" s="1324"/>
    </row>
    <row r="399" spans="1:36" ht="12.95" customHeight="1">
      <c r="D399" t="s">
        <v>5</v>
      </c>
      <c r="Q399" s="1436"/>
      <c r="R399" s="1437"/>
      <c r="S399" s="1437"/>
      <c r="T399" s="1437"/>
      <c r="U399" s="1437"/>
      <c r="W399" s="21" t="s">
        <v>74</v>
      </c>
      <c r="AG399" s="1383"/>
      <c r="AH399" s="1383"/>
      <c r="AI399" s="1383"/>
      <c r="AJ399" s="1383"/>
    </row>
    <row r="400" spans="1:36" ht="12.95" customHeight="1">
      <c r="D400" t="s">
        <v>427</v>
      </c>
      <c r="Q400" s="1384"/>
      <c r="R400" s="1384"/>
      <c r="S400" s="1384"/>
      <c r="T400" s="1384"/>
      <c r="U400" s="1384"/>
      <c r="V400" s="3" t="s">
        <v>1181</v>
      </c>
      <c r="AG400" s="1512"/>
      <c r="AH400" s="1512"/>
      <c r="AI400" s="1512"/>
      <c r="AJ400" s="1512"/>
    </row>
    <row r="401" spans="4:36" ht="12.95" customHeight="1">
      <c r="D401" t="s">
        <v>88</v>
      </c>
      <c r="I401" s="1452"/>
      <c r="J401" s="1452"/>
      <c r="K401" s="1452"/>
      <c r="L401" s="1452"/>
      <c r="M401" s="1452"/>
      <c r="N401" s="1452"/>
      <c r="Q401" s="4" t="s">
        <v>206</v>
      </c>
      <c r="S401" s="1382"/>
      <c r="T401" s="1382"/>
      <c r="U401" s="1382"/>
      <c r="V401" t="s">
        <v>73</v>
      </c>
      <c r="AI401" s="1324" t="s">
        <v>669</v>
      </c>
      <c r="AJ401" s="1324"/>
    </row>
    <row r="402" spans="4:36" ht="12.95" customHeight="1">
      <c r="D402" t="s">
        <v>310</v>
      </c>
      <c r="Q402" s="1446"/>
      <c r="R402" s="1446"/>
      <c r="S402" s="1446"/>
      <c r="T402" s="1446"/>
      <c r="U402" s="1446"/>
      <c r="V402" t="s">
        <v>311</v>
      </c>
      <c r="AG402" s="1383"/>
      <c r="AH402" s="1383"/>
      <c r="AI402" s="1383"/>
      <c r="AJ402" s="1383"/>
    </row>
    <row r="403" spans="4:36" ht="12.95" customHeight="1">
      <c r="D403" t="s">
        <v>312</v>
      </c>
      <c r="Q403" s="1494"/>
      <c r="R403" s="1494"/>
      <c r="S403" s="1494"/>
      <c r="T403" s="1494"/>
      <c r="U403" s="1494"/>
      <c r="V403" t="s">
        <v>1163</v>
      </c>
      <c r="AG403" s="1383"/>
      <c r="AH403" s="1383"/>
      <c r="AI403" s="1383"/>
      <c r="AJ403" s="1383"/>
    </row>
    <row r="404" spans="4:36" ht="12.95" customHeight="1">
      <c r="D404" t="s">
        <v>1162</v>
      </c>
      <c r="AG404" s="1383"/>
      <c r="AH404" s="1383"/>
      <c r="AI404" s="1383"/>
      <c r="AJ404" s="1383"/>
    </row>
    <row r="405" spans="4:36" ht="12.95" customHeight="1">
      <c r="AG405" s="456"/>
      <c r="AH405" s="456"/>
      <c r="AI405" s="456"/>
      <c r="AJ405" s="456"/>
    </row>
    <row r="406" spans="4:36" ht="12.95" customHeight="1">
      <c r="D406" s="3" t="s">
        <v>2097</v>
      </c>
      <c r="AG406" s="456"/>
      <c r="AH406" s="456"/>
      <c r="AI406" s="1324" t="s">
        <v>669</v>
      </c>
      <c r="AJ406" s="1324"/>
    </row>
    <row r="407" spans="4:36" ht="12.95" customHeight="1">
      <c r="D407" s="3" t="s">
        <v>1656</v>
      </c>
      <c r="T407" s="1402"/>
      <c r="U407" s="1402"/>
      <c r="V407" s="1402"/>
      <c r="W407" s="1402"/>
      <c r="X407" s="1402"/>
      <c r="Y407" s="1402"/>
      <c r="Z407" s="1402"/>
      <c r="AA407" s="1402"/>
      <c r="AB407" s="1402"/>
      <c r="AC407" s="1402"/>
      <c r="AD407" s="1402"/>
      <c r="AE407" s="1402"/>
      <c r="AF407" s="1402"/>
      <c r="AG407" s="1402"/>
      <c r="AH407" s="1402"/>
      <c r="AI407" s="1402"/>
      <c r="AJ407" s="1402"/>
    </row>
    <row r="408" spans="4:36" ht="12.95" customHeight="1">
      <c r="D408" s="3" t="s">
        <v>1655</v>
      </c>
      <c r="T408" s="1402"/>
      <c r="U408" s="1402"/>
      <c r="V408" s="1402"/>
      <c r="W408" s="1402"/>
      <c r="X408" s="1402"/>
      <c r="Y408" s="1402"/>
      <c r="Z408" s="1402"/>
      <c r="AA408" s="1402"/>
      <c r="AB408" s="1402"/>
      <c r="AC408" s="1402"/>
      <c r="AD408" s="1402"/>
      <c r="AE408" s="1402"/>
      <c r="AF408" s="1402"/>
      <c r="AG408" s="1402"/>
      <c r="AH408" s="1402"/>
      <c r="AI408" s="1402"/>
      <c r="AJ408" s="1402"/>
    </row>
    <row r="409" spans="4:36" ht="12.95" customHeight="1">
      <c r="AG409" s="456"/>
      <c r="AH409" s="456"/>
      <c r="AI409" s="456"/>
      <c r="AJ409" s="456"/>
    </row>
    <row r="410" spans="4:36" ht="12.95" customHeight="1">
      <c r="D410" s="3" t="s">
        <v>1649</v>
      </c>
      <c r="S410" s="1402" t="s">
        <v>669</v>
      </c>
      <c r="T410" s="1402"/>
      <c r="U410" s="1402"/>
      <c r="V410" t="s">
        <v>1650</v>
      </c>
      <c r="AG410" s="1439"/>
      <c r="AH410" s="1439"/>
      <c r="AI410" s="1439"/>
      <c r="AJ410" s="1439"/>
    </row>
    <row r="411" spans="4:36" ht="12.95" customHeight="1">
      <c r="D411" s="3" t="s">
        <v>1647</v>
      </c>
      <c r="S411" s="1402" t="s">
        <v>591</v>
      </c>
      <c r="T411" s="1402"/>
      <c r="U411" s="1402"/>
      <c r="V411" t="s">
        <v>1652</v>
      </c>
      <c r="AE411" s="1438"/>
      <c r="AF411" s="1438"/>
      <c r="AG411" s="1438"/>
      <c r="AH411" s="1438"/>
      <c r="AI411" s="1438"/>
      <c r="AJ411" s="1438"/>
    </row>
    <row r="412" spans="4:36" ht="12.95" customHeight="1">
      <c r="D412" s="3" t="s">
        <v>1648</v>
      </c>
      <c r="K412" s="1473"/>
      <c r="L412" s="1473"/>
      <c r="M412" s="1473"/>
      <c r="N412" s="1473"/>
      <c r="O412" s="1473"/>
      <c r="P412" s="1473"/>
      <c r="Q412" s="1473"/>
      <c r="R412" s="1473"/>
      <c r="S412" s="1473"/>
      <c r="T412" s="1473"/>
      <c r="U412" s="1473"/>
      <c r="V412" s="1473"/>
      <c r="W412" s="1473"/>
      <c r="X412" s="1473"/>
      <c r="Y412" s="1473"/>
      <c r="Z412" s="1473"/>
      <c r="AA412" s="1473"/>
      <c r="AB412" s="1473"/>
      <c r="AC412" s="1473"/>
      <c r="AD412" s="1473"/>
      <c r="AE412" s="1473"/>
      <c r="AF412" s="1473"/>
      <c r="AG412" s="1473"/>
      <c r="AH412" s="1473"/>
      <c r="AI412" s="1473"/>
      <c r="AJ412" s="1473"/>
    </row>
    <row r="413" spans="4:36" ht="12.95" customHeight="1">
      <c r="D413" s="3" t="s">
        <v>1651</v>
      </c>
      <c r="K413" s="1473"/>
      <c r="L413" s="1473"/>
      <c r="M413" s="1473"/>
      <c r="N413" s="1473"/>
      <c r="O413" s="1473"/>
      <c r="P413" s="1473"/>
      <c r="Q413" s="1473"/>
      <c r="R413" s="1473"/>
      <c r="S413" s="1473"/>
      <c r="T413" s="1473"/>
      <c r="U413" s="1473"/>
      <c r="V413" s="1473"/>
      <c r="W413" s="1473"/>
      <c r="X413" s="1473"/>
      <c r="Y413" s="1473"/>
      <c r="Z413" s="1473"/>
      <c r="AA413" s="1473"/>
      <c r="AB413" s="1473"/>
      <c r="AC413" s="1473"/>
      <c r="AD413" s="1473"/>
      <c r="AE413" s="1473"/>
      <c r="AF413" s="1473"/>
      <c r="AG413" s="1473"/>
      <c r="AH413" s="1473"/>
      <c r="AI413" s="1473"/>
      <c r="AJ413" s="1473"/>
    </row>
    <row r="414" spans="4:36" ht="12.95" customHeight="1">
      <c r="D414" s="3" t="s">
        <v>1654</v>
      </c>
      <c r="E414" s="477"/>
      <c r="F414" s="477"/>
      <c r="G414" s="477"/>
      <c r="H414" s="477"/>
      <c r="I414" s="477"/>
      <c r="J414" s="477"/>
      <c r="K414" s="477"/>
      <c r="L414" s="477"/>
      <c r="M414" s="477"/>
      <c r="N414" s="477"/>
      <c r="O414" s="477"/>
      <c r="P414" s="477"/>
      <c r="Q414" s="477"/>
      <c r="R414" s="477"/>
      <c r="S414" s="1445" t="s">
        <v>1184</v>
      </c>
      <c r="T414" s="1445"/>
      <c r="U414" s="1445"/>
      <c r="V414" s="1445"/>
      <c r="W414" s="1445"/>
      <c r="X414" s="1445"/>
      <c r="Y414" s="1445"/>
      <c r="Z414" s="1445"/>
      <c r="AA414" s="1445"/>
      <c r="AB414" s="1445"/>
      <c r="AC414" s="1445"/>
      <c r="AD414" s="1445"/>
      <c r="AE414" s="1445"/>
      <c r="AF414" s="1445"/>
      <c r="AG414" s="1445"/>
      <c r="AH414" s="1445"/>
      <c r="AI414" s="1445"/>
      <c r="AJ414" s="1445"/>
    </row>
    <row r="415" spans="4:36" ht="12.95" customHeight="1">
      <c r="D415" s="1502" t="s">
        <v>1653</v>
      </c>
      <c r="E415" s="1502"/>
      <c r="F415" s="1502"/>
      <c r="G415" s="1502"/>
      <c r="H415" s="1502"/>
      <c r="I415" s="1502"/>
      <c r="J415" s="1502"/>
      <c r="K415" s="1502"/>
      <c r="L415" s="1502"/>
      <c r="M415" s="1502"/>
      <c r="N415" s="1502"/>
      <c r="O415" s="1502"/>
      <c r="P415" s="1502"/>
      <c r="Q415" s="1502"/>
      <c r="R415" s="1502"/>
      <c r="S415" s="1502"/>
      <c r="T415" s="1502"/>
      <c r="U415" s="1502"/>
      <c r="V415" s="1502"/>
      <c r="W415" s="1502"/>
      <c r="X415" s="1502"/>
      <c r="Y415" s="1502"/>
      <c r="Z415" s="1502"/>
      <c r="AA415" s="1502"/>
      <c r="AB415" s="1502"/>
      <c r="AC415" s="1502"/>
      <c r="AD415" s="1502"/>
      <c r="AE415" s="1502"/>
      <c r="AF415" s="1502"/>
      <c r="AG415" s="1502"/>
      <c r="AH415" s="1502"/>
      <c r="AI415" s="1502"/>
      <c r="AJ415" s="1502"/>
    </row>
    <row r="416" spans="4:36" ht="12.95" customHeight="1">
      <c r="D416" s="1502"/>
      <c r="E416" s="1502"/>
      <c r="F416" s="1502"/>
      <c r="G416" s="1502"/>
      <c r="H416" s="1502"/>
      <c r="I416" s="1502"/>
      <c r="J416" s="1502"/>
      <c r="K416" s="1502"/>
      <c r="L416" s="1502"/>
      <c r="M416" s="1502"/>
      <c r="N416" s="1502"/>
      <c r="O416" s="1502"/>
      <c r="P416" s="1502"/>
      <c r="Q416" s="1502"/>
      <c r="R416" s="1502"/>
      <c r="S416" s="1502"/>
      <c r="T416" s="1502"/>
      <c r="U416" s="1502"/>
      <c r="V416" s="1502"/>
      <c r="W416" s="1502"/>
      <c r="X416" s="1502"/>
      <c r="Y416" s="1502"/>
      <c r="Z416" s="1502"/>
      <c r="AA416" s="1502"/>
      <c r="AB416" s="1502"/>
      <c r="AC416" s="1502"/>
      <c r="AD416" s="1502"/>
      <c r="AE416" s="1502"/>
      <c r="AF416" s="1502"/>
      <c r="AG416" s="1502"/>
      <c r="AH416" s="1502"/>
      <c r="AI416" s="1502"/>
      <c r="AJ416" s="1502"/>
    </row>
    <row r="417" spans="1:39" ht="12.95" customHeight="1">
      <c r="AG417" s="456"/>
      <c r="AH417" s="456"/>
      <c r="AI417" s="456"/>
      <c r="AJ417" s="456"/>
    </row>
    <row r="418" spans="1:39" ht="12.95" customHeight="1">
      <c r="A418" s="2" t="s">
        <v>589</v>
      </c>
      <c r="B418" s="2"/>
      <c r="C418" s="2" t="s">
        <v>111</v>
      </c>
    </row>
    <row r="419" spans="1:39" ht="12.95" customHeight="1">
      <c r="B419" s="2"/>
      <c r="C419" s="2"/>
      <c r="D419" s="2" t="s">
        <v>1204</v>
      </c>
      <c r="I419" s="1358" t="s">
        <v>2727</v>
      </c>
      <c r="J419" s="1358"/>
      <c r="K419" s="1358"/>
      <c r="L419" s="1358"/>
      <c r="M419" s="1358"/>
      <c r="N419" s="1358"/>
      <c r="O419" s="1358"/>
      <c r="P419" s="1358"/>
      <c r="Q419" s="1358"/>
      <c r="R419" s="1358"/>
      <c r="S419" s="1358"/>
      <c r="T419" s="1358"/>
      <c r="U419" s="1358"/>
      <c r="V419" s="1358"/>
      <c r="W419" s="1358"/>
      <c r="X419" s="1358"/>
      <c r="Y419" s="1358"/>
      <c r="Z419" s="1358"/>
      <c r="AA419" s="1358"/>
      <c r="AB419" s="1358"/>
      <c r="AC419" s="1358"/>
      <c r="AD419" s="1358"/>
      <c r="AE419" s="1358"/>
    </row>
    <row r="420" spans="1:39" ht="12.95" customHeight="1">
      <c r="E420" t="s">
        <v>106</v>
      </c>
      <c r="R420" s="1324" t="s">
        <v>545</v>
      </c>
      <c r="S420" s="1324"/>
      <c r="AC420" s="27" t="s">
        <v>570</v>
      </c>
      <c r="AD420" s="1289">
        <v>4</v>
      </c>
      <c r="AE420" s="1289"/>
    </row>
    <row r="421" spans="1:39" ht="12.95" customHeight="1">
      <c r="E421" t="s">
        <v>107</v>
      </c>
      <c r="R421" s="1324" t="s">
        <v>591</v>
      </c>
      <c r="S421" s="1324"/>
      <c r="AC421" s="27" t="s">
        <v>570</v>
      </c>
      <c r="AD421" s="1289"/>
      <c r="AE421" s="1289"/>
    </row>
    <row r="422" spans="1:39" ht="12.95" customHeight="1">
      <c r="E422" t="s">
        <v>108</v>
      </c>
      <c r="S422" s="1324" t="s">
        <v>591</v>
      </c>
      <c r="T422" s="1324"/>
    </row>
    <row r="423" spans="1:39" ht="12.95" customHeight="1">
      <c r="E423" t="s">
        <v>170</v>
      </c>
      <c r="H423" s="1495" t="s">
        <v>2728</v>
      </c>
      <c r="I423" s="1495"/>
      <c r="J423" s="1495"/>
      <c r="K423" s="1495"/>
      <c r="L423" s="1495"/>
      <c r="M423" s="1495"/>
      <c r="N423" s="1495"/>
      <c r="O423" s="1495"/>
      <c r="P423" s="1495"/>
      <c r="Q423" s="1495"/>
      <c r="R423" s="1495"/>
      <c r="S423" s="1495"/>
      <c r="T423" s="1495"/>
      <c r="U423" s="1495"/>
      <c r="V423" s="1495"/>
      <c r="W423" s="1495"/>
      <c r="X423" s="1495"/>
      <c r="Y423" s="1495"/>
      <c r="Z423" s="1495"/>
      <c r="AA423" s="1495"/>
      <c r="AB423" s="1495"/>
      <c r="AC423" s="1495"/>
      <c r="AD423" s="1495"/>
      <c r="AE423" s="1495"/>
    </row>
    <row r="424" spans="1:39" ht="12.95" customHeight="1">
      <c r="H424" s="1496"/>
      <c r="I424" s="1496"/>
      <c r="J424" s="1496"/>
      <c r="K424" s="1496"/>
      <c r="L424" s="1496"/>
      <c r="M424" s="1496"/>
      <c r="N424" s="1496"/>
      <c r="O424" s="1496"/>
      <c r="P424" s="1496"/>
      <c r="Q424" s="1496"/>
      <c r="R424" s="1496"/>
      <c r="S424" s="1496"/>
      <c r="T424" s="1496"/>
      <c r="U424" s="1496"/>
      <c r="V424" s="1496"/>
      <c r="W424" s="1496"/>
      <c r="X424" s="1496"/>
      <c r="Y424" s="1496"/>
      <c r="Z424" s="1496"/>
      <c r="AA424" s="1496"/>
      <c r="AB424" s="1496"/>
      <c r="AC424" s="1496"/>
      <c r="AD424" s="1496"/>
      <c r="AE424" s="1496"/>
    </row>
    <row r="425" spans="1:39" ht="12.95" customHeight="1"/>
    <row r="426" spans="1:39" ht="12.95" customHeight="1">
      <c r="A426" s="2" t="s">
        <v>590</v>
      </c>
      <c r="B426" s="2"/>
      <c r="C426" s="2"/>
      <c r="D426" s="2" t="s">
        <v>114</v>
      </c>
      <c r="AF426" s="2" t="s">
        <v>957</v>
      </c>
    </row>
    <row r="427" spans="1:39" ht="12.95" customHeight="1">
      <c r="E427" s="1443"/>
      <c r="F427" s="1443"/>
      <c r="G427" s="1443"/>
      <c r="H427" s="13" t="s">
        <v>115</v>
      </c>
      <c r="I427" s="1443"/>
      <c r="J427" s="1443"/>
      <c r="K427" s="1443"/>
      <c r="L427" t="s">
        <v>116</v>
      </c>
      <c r="N427" s="27" t="s">
        <v>575</v>
      </c>
      <c r="P427" s="1433">
        <v>1.26</v>
      </c>
      <c r="Q427" s="1433"/>
      <c r="R427" s="1433"/>
      <c r="S427" t="s">
        <v>117</v>
      </c>
      <c r="W427" s="1444">
        <f>IF(E427&gt;0,(E427*I427),(P427*43560))</f>
        <v>54885.599999999999</v>
      </c>
      <c r="X427" s="1444"/>
      <c r="Y427" s="1444"/>
      <c r="Z427" t="s">
        <v>118</v>
      </c>
      <c r="AF427" s="1497">
        <f>IFERROR(IF(P427&gt;0,(AG446/P427),(AG446/(W427/43560))),0)</f>
        <v>38.888888888888886</v>
      </c>
      <c r="AG427" s="1497"/>
      <c r="AH427" s="1497"/>
      <c r="AM427" s="3"/>
    </row>
    <row r="428" spans="1:39" ht="12.95" customHeight="1">
      <c r="E428" t="s">
        <v>51</v>
      </c>
    </row>
    <row r="429" spans="1:39" ht="12.95" customHeight="1">
      <c r="E429" s="1427"/>
      <c r="F429" s="1427"/>
      <c r="G429" s="1427"/>
      <c r="H429" s="1427"/>
      <c r="I429" s="1427"/>
      <c r="J429" s="1427"/>
      <c r="K429" s="1427"/>
      <c r="L429" s="1427"/>
      <c r="M429" s="1427"/>
      <c r="N429" s="1427"/>
      <c r="O429" s="1427"/>
      <c r="P429" s="1427"/>
      <c r="Q429" s="1427"/>
      <c r="R429" s="1427"/>
      <c r="S429" s="1427"/>
      <c r="T429" s="1427"/>
      <c r="U429" s="1427"/>
      <c r="V429" s="1427"/>
      <c r="W429" s="1427"/>
      <c r="X429" s="1427"/>
      <c r="Y429" s="1427"/>
      <c r="Z429" s="1427"/>
      <c r="AA429" s="1427"/>
      <c r="AB429" s="1427"/>
      <c r="AC429" s="1427"/>
      <c r="AD429" s="1427"/>
      <c r="AE429" s="1427"/>
      <c r="AF429" s="1427"/>
      <c r="AG429" s="1427"/>
      <c r="AH429" s="1427"/>
      <c r="AI429" s="1427"/>
      <c r="AJ429" s="1427"/>
    </row>
    <row r="430" spans="1:39" ht="12.95" customHeight="1">
      <c r="E430" s="118" t="s">
        <v>1724</v>
      </c>
      <c r="F430" s="1008"/>
      <c r="G430" s="1008"/>
      <c r="H430" s="1008"/>
      <c r="I430" s="1432">
        <v>1.26</v>
      </c>
      <c r="J430" s="1432"/>
      <c r="K430" s="1432"/>
      <c r="L430" s="1008"/>
      <c r="M430" s="118"/>
      <c r="N430" s="1008"/>
      <c r="O430" s="1008"/>
      <c r="P430" s="1753">
        <f>(DU763+DU786+DU808)/I430</f>
        <v>44.444444444444443</v>
      </c>
      <c r="Q430" s="1753"/>
      <c r="R430" s="1753"/>
      <c r="S430" s="118" t="s">
        <v>1725</v>
      </c>
      <c r="T430" s="1008"/>
      <c r="U430" s="1008"/>
      <c r="V430" s="1008"/>
      <c r="W430" s="1008"/>
      <c r="X430" s="1008"/>
      <c r="Y430" s="1008"/>
      <c r="Z430" s="1008"/>
      <c r="AA430" s="1008"/>
      <c r="AB430" s="1008"/>
      <c r="AC430" s="1008"/>
      <c r="AD430" s="1008"/>
      <c r="AE430" s="1008"/>
      <c r="AF430" s="1008"/>
      <c r="AG430" s="1008"/>
      <c r="AH430" s="1008"/>
      <c r="AI430" s="1008"/>
      <c r="AJ430" s="1008"/>
    </row>
    <row r="431" spans="1:39" ht="12.95" customHeight="1"/>
    <row r="432" spans="1:39" ht="12.95" customHeight="1">
      <c r="A432" s="2" t="s">
        <v>592</v>
      </c>
      <c r="B432" s="2"/>
      <c r="C432" s="2"/>
      <c r="D432" s="2" t="s">
        <v>120</v>
      </c>
    </row>
    <row r="433" spans="1:36" ht="12.95" customHeight="1">
      <c r="E433" t="s">
        <v>121</v>
      </c>
      <c r="P433" s="1324">
        <v>1</v>
      </c>
      <c r="Q433" s="1324"/>
      <c r="S433" t="s">
        <v>189</v>
      </c>
      <c r="AE433" s="1324">
        <v>0</v>
      </c>
      <c r="AF433" s="1324"/>
    </row>
    <row r="434" spans="1:36" ht="12.95" customHeight="1">
      <c r="E434" t="s">
        <v>190</v>
      </c>
      <c r="P434" s="1324">
        <v>0</v>
      </c>
      <c r="Q434" s="1324"/>
      <c r="S434" t="s">
        <v>131</v>
      </c>
      <c r="AE434" s="1324" t="s">
        <v>591</v>
      </c>
      <c r="AF434" s="1324"/>
    </row>
    <row r="435" spans="1:36" ht="12.95" customHeight="1">
      <c r="F435" s="28" t="s">
        <v>132</v>
      </c>
    </row>
    <row r="436" spans="1:36" ht="12.95" customHeight="1">
      <c r="F436" s="1449"/>
      <c r="G436" s="1449"/>
      <c r="H436" s="1449"/>
      <c r="I436" s="1449"/>
      <c r="J436" s="1449"/>
      <c r="K436" s="1449"/>
      <c r="L436" s="1449"/>
      <c r="M436" s="1449"/>
      <c r="N436" s="1449"/>
      <c r="O436" s="1449"/>
      <c r="P436" s="1449"/>
      <c r="Q436" s="1449"/>
      <c r="R436" s="1449"/>
      <c r="S436" s="1449"/>
      <c r="T436" s="1449"/>
      <c r="U436" s="1449"/>
      <c r="V436" s="1449"/>
      <c r="W436" s="1449"/>
      <c r="X436" s="1449"/>
      <c r="Y436" s="1449"/>
      <c r="Z436" s="1449"/>
      <c r="AA436" s="1449"/>
      <c r="AB436" s="1449"/>
      <c r="AC436" s="1449"/>
      <c r="AD436" s="1449"/>
      <c r="AE436" s="1449"/>
      <c r="AF436" s="1449"/>
      <c r="AG436" s="1449"/>
      <c r="AH436" s="1449"/>
    </row>
    <row r="437" spans="1:36" ht="12.95" customHeight="1">
      <c r="F437" s="1450"/>
      <c r="G437" s="1450"/>
      <c r="H437" s="1450"/>
      <c r="I437" s="1450"/>
      <c r="J437" s="1450"/>
      <c r="K437" s="1450"/>
      <c r="L437" s="1450"/>
      <c r="M437" s="1450"/>
      <c r="N437" s="1450"/>
      <c r="O437" s="1450"/>
      <c r="P437" s="1450"/>
      <c r="Q437" s="1450"/>
      <c r="R437" s="1450"/>
      <c r="S437" s="1450"/>
      <c r="T437" s="1450"/>
      <c r="U437" s="1450"/>
      <c r="V437" s="1450"/>
      <c r="W437" s="1450"/>
      <c r="X437" s="1450"/>
      <c r="Y437" s="1450"/>
      <c r="Z437" s="1450"/>
      <c r="AA437" s="1450"/>
      <c r="AB437" s="1450"/>
      <c r="AC437" s="1450"/>
      <c r="AD437" s="1450"/>
      <c r="AE437" s="1450"/>
      <c r="AF437" s="1450"/>
      <c r="AG437" s="1450"/>
      <c r="AH437" s="1450"/>
    </row>
    <row r="438" spans="1:36" ht="12.95" customHeight="1">
      <c r="E438" t="s">
        <v>608</v>
      </c>
      <c r="P438" s="1"/>
      <c r="Q438" s="1324" t="s">
        <v>669</v>
      </c>
      <c r="R438" s="1324"/>
    </row>
    <row r="439" spans="1:36" ht="12.95" customHeight="1">
      <c r="F439" t="s">
        <v>609</v>
      </c>
      <c r="P439" s="1"/>
      <c r="Q439" s="1"/>
      <c r="AF439" s="1324" t="s">
        <v>591</v>
      </c>
      <c r="AG439" s="1431"/>
    </row>
    <row r="440" spans="1:36" ht="12.95" customHeight="1"/>
    <row r="441" spans="1:36" ht="12.95" customHeight="1">
      <c r="A441" s="2"/>
      <c r="B441" s="2"/>
      <c r="C441" s="2"/>
      <c r="E441" s="4" t="s">
        <v>308</v>
      </c>
      <c r="Z441" s="1324" t="s">
        <v>669</v>
      </c>
      <c r="AA441" s="1324"/>
    </row>
    <row r="442" spans="1:36" ht="12.95" customHeight="1">
      <c r="F442" s="39" t="s">
        <v>44</v>
      </c>
      <c r="G442" s="40"/>
      <c r="H442" s="40"/>
      <c r="I442" s="40"/>
      <c r="J442" s="40"/>
      <c r="K442" s="40"/>
      <c r="L442" s="40"/>
      <c r="M442" s="40"/>
      <c r="N442" s="40"/>
      <c r="O442" s="40"/>
      <c r="P442" s="40"/>
      <c r="Q442" s="40"/>
      <c r="R442" s="40"/>
      <c r="S442" s="40"/>
      <c r="T442" s="40"/>
      <c r="U442" s="40"/>
      <c r="V442" s="40"/>
      <c r="W442" s="40"/>
      <c r="AB442" s="40"/>
    </row>
    <row r="443" spans="1:36" ht="12.95" customHeight="1">
      <c r="F443" t="s">
        <v>707</v>
      </c>
      <c r="G443" s="40"/>
      <c r="I443" s="40"/>
      <c r="J443" s="40"/>
      <c r="K443" s="40"/>
      <c r="L443" s="40"/>
      <c r="M443" s="40"/>
      <c r="N443" s="40"/>
      <c r="O443" s="28"/>
      <c r="P443" s="40"/>
      <c r="Q443" s="40"/>
      <c r="R443" s="40"/>
      <c r="S443" s="40"/>
      <c r="T443" s="40"/>
      <c r="U443" s="40"/>
      <c r="V443" s="40"/>
      <c r="W443" s="40"/>
      <c r="Z443" s="1324" t="s">
        <v>591</v>
      </c>
      <c r="AA443" s="1324"/>
    </row>
    <row r="444" spans="1:36" ht="12.95" customHeight="1"/>
    <row r="445" spans="1:36" ht="12.95" customHeight="1">
      <c r="A445" s="2" t="s">
        <v>467</v>
      </c>
      <c r="B445" s="2"/>
      <c r="C445" s="2"/>
      <c r="D445" s="2" t="s">
        <v>764</v>
      </c>
      <c r="AF445" s="48"/>
    </row>
    <row r="446" spans="1:36" ht="12.95" customHeight="1">
      <c r="D446" s="1335" t="s">
        <v>43</v>
      </c>
      <c r="E446" s="1336"/>
      <c r="F446" s="1336"/>
      <c r="G446" s="1336"/>
      <c r="H446" s="1336"/>
      <c r="I446" s="1336"/>
      <c r="J446" s="1336"/>
      <c r="K446" s="1336"/>
      <c r="L446" s="1336"/>
      <c r="M446" s="1336"/>
      <c r="N446" s="1336"/>
      <c r="O446" s="1336"/>
      <c r="P446" s="1336"/>
      <c r="Q446" s="1336"/>
      <c r="R446" s="1336"/>
      <c r="S446" s="1336"/>
      <c r="T446" s="1336"/>
      <c r="U446" s="1336"/>
      <c r="V446" s="1336"/>
      <c r="W446" s="1336"/>
      <c r="X446" s="1336"/>
      <c r="Y446" s="1336"/>
      <c r="Z446" s="1336"/>
      <c r="AA446" s="1336"/>
      <c r="AB446" s="1336"/>
      <c r="AC446" s="1336"/>
      <c r="AD446" s="1336"/>
      <c r="AE446" s="1336"/>
      <c r="AF446" s="1337"/>
      <c r="AG446" s="1412">
        <v>49</v>
      </c>
      <c r="AH446" s="1412"/>
      <c r="AI446" s="1412"/>
      <c r="AJ446" s="1412"/>
    </row>
    <row r="447" spans="1:36" ht="12.95" customHeight="1">
      <c r="D447" s="1428" t="s">
        <v>1222</v>
      </c>
      <c r="E447" s="1429"/>
      <c r="F447" s="1429"/>
      <c r="G447" s="1429"/>
      <c r="H447" s="1429"/>
      <c r="I447" s="1429"/>
      <c r="J447" s="1429"/>
      <c r="K447" s="1429"/>
      <c r="L447" s="1429"/>
      <c r="M447" s="1429"/>
      <c r="N447" s="1429"/>
      <c r="O447" s="1429"/>
      <c r="P447" s="1429"/>
      <c r="Q447" s="1429"/>
      <c r="R447" s="1429"/>
      <c r="S447" s="1429"/>
      <c r="T447" s="1429"/>
      <c r="U447" s="1429"/>
      <c r="V447" s="1429"/>
      <c r="W447" s="1429"/>
      <c r="X447" s="1429"/>
      <c r="Y447" s="1429"/>
      <c r="Z447" s="1429"/>
      <c r="AA447" s="1429"/>
      <c r="AB447" s="1429"/>
      <c r="AC447" s="1429"/>
      <c r="AD447" s="1429"/>
      <c r="AE447" s="1429"/>
      <c r="AF447" s="1430"/>
      <c r="AG447" s="1434">
        <v>0</v>
      </c>
      <c r="AH447" s="1435"/>
      <c r="AI447" s="1435"/>
      <c r="AJ447" s="1435"/>
    </row>
    <row r="448" spans="1:36" ht="12.95" customHeight="1">
      <c r="D448" s="1428" t="s">
        <v>1031</v>
      </c>
      <c r="E448" s="1429"/>
      <c r="F448" s="1429"/>
      <c r="G448" s="1429"/>
      <c r="H448" s="1429"/>
      <c r="I448" s="1429"/>
      <c r="J448" s="1429"/>
      <c r="K448" s="1429"/>
      <c r="L448" s="1429"/>
      <c r="M448" s="1429"/>
      <c r="N448" s="1429"/>
      <c r="O448" s="1429"/>
      <c r="P448" s="1429"/>
      <c r="Q448" s="1429"/>
      <c r="R448" s="1429"/>
      <c r="S448" s="1429"/>
      <c r="T448" s="1429"/>
      <c r="U448" s="1429"/>
      <c r="V448" s="1429"/>
      <c r="W448" s="1429"/>
      <c r="X448" s="1429"/>
      <c r="Y448" s="1429"/>
      <c r="Z448" s="1429"/>
      <c r="AA448" s="1429"/>
      <c r="AB448" s="1429"/>
      <c r="AC448" s="1429"/>
      <c r="AD448" s="1429"/>
      <c r="AE448" s="1429"/>
      <c r="AF448" s="1430"/>
      <c r="AG448" s="1412">
        <v>48</v>
      </c>
      <c r="AH448" s="1412"/>
      <c r="AI448" s="1412"/>
      <c r="AJ448" s="1412"/>
    </row>
    <row r="449" spans="4:55" ht="12.95" customHeight="1">
      <c r="D449" s="1428" t="s">
        <v>1032</v>
      </c>
      <c r="E449" s="1429"/>
      <c r="F449" s="1429"/>
      <c r="G449" s="1429"/>
      <c r="H449" s="1429"/>
      <c r="I449" s="1429"/>
      <c r="J449" s="1429"/>
      <c r="K449" s="1429"/>
      <c r="L449" s="1429"/>
      <c r="M449" s="1429"/>
      <c r="N449" s="1429"/>
      <c r="O449" s="1429"/>
      <c r="P449" s="1429"/>
      <c r="Q449" s="1429"/>
      <c r="R449" s="1429"/>
      <c r="S449" s="1429"/>
      <c r="T449" s="1429"/>
      <c r="U449" s="1429"/>
      <c r="V449" s="1429"/>
      <c r="W449" s="1429"/>
      <c r="X449" s="1429"/>
      <c r="Y449" s="1429"/>
      <c r="Z449" s="1429"/>
      <c r="AA449" s="1429"/>
      <c r="AB449" s="1429"/>
      <c r="AC449" s="1429"/>
      <c r="AD449" s="1429"/>
      <c r="AE449" s="1429"/>
      <c r="AF449" s="1430"/>
      <c r="AG449" s="1412">
        <v>48</v>
      </c>
      <c r="AH449" s="1412"/>
      <c r="AI449" s="1412"/>
      <c r="AJ449" s="1412"/>
    </row>
    <row r="450" spans="4:55" ht="12.95" customHeight="1">
      <c r="D450" s="1428" t="s">
        <v>1034</v>
      </c>
      <c r="E450" s="1429"/>
      <c r="F450" s="1429"/>
      <c r="G450" s="1429"/>
      <c r="H450" s="1429"/>
      <c r="I450" s="1429"/>
      <c r="J450" s="1429"/>
      <c r="K450" s="1429"/>
      <c r="L450" s="1429"/>
      <c r="M450" s="1429"/>
      <c r="N450" s="1429"/>
      <c r="O450" s="1429"/>
      <c r="P450" s="1429"/>
      <c r="Q450" s="1429"/>
      <c r="R450" s="1429"/>
      <c r="S450" s="1429"/>
      <c r="T450" s="1429"/>
      <c r="U450" s="1429"/>
      <c r="V450" s="1429"/>
      <c r="W450" s="1429"/>
      <c r="X450" s="1429"/>
      <c r="Y450" s="1429"/>
      <c r="Z450" s="1429"/>
      <c r="AA450" s="1429"/>
      <c r="AB450" s="1429"/>
      <c r="AC450" s="1429"/>
      <c r="AD450" s="1429"/>
      <c r="AE450" s="1429"/>
      <c r="AF450" s="1430"/>
      <c r="AG450" s="1330">
        <f>IF(ISERROR(AG449/AG448),0,AG449/AG448)</f>
        <v>1</v>
      </c>
      <c r="AH450" s="1330"/>
      <c r="AI450" s="1330"/>
      <c r="AJ450" s="1330"/>
    </row>
    <row r="451" spans="4:55" ht="12.95" customHeight="1">
      <c r="D451" s="1428" t="s">
        <v>1033</v>
      </c>
      <c r="E451" s="1429"/>
      <c r="F451" s="1429"/>
      <c r="G451" s="1429"/>
      <c r="H451" s="1429"/>
      <c r="I451" s="1429"/>
      <c r="J451" s="1429"/>
      <c r="K451" s="1429"/>
      <c r="L451" s="1429"/>
      <c r="M451" s="1429"/>
      <c r="N451" s="1429"/>
      <c r="O451" s="1429"/>
      <c r="P451" s="1429"/>
      <c r="Q451" s="1429"/>
      <c r="R451" s="1429"/>
      <c r="S451" s="1429"/>
      <c r="T451" s="1429"/>
      <c r="U451" s="1429"/>
      <c r="V451" s="1429"/>
      <c r="W451" s="1429"/>
      <c r="X451" s="1429"/>
      <c r="Y451" s="1429"/>
      <c r="Z451" s="1429"/>
      <c r="AA451" s="1429"/>
      <c r="AB451" s="1429"/>
      <c r="AC451" s="1429"/>
      <c r="AD451" s="1429"/>
      <c r="AE451" s="1429"/>
      <c r="AF451" s="1430"/>
      <c r="AG451" s="1426">
        <v>51876</v>
      </c>
      <c r="AH451" s="1426"/>
      <c r="AI451" s="1426"/>
      <c r="AJ451" s="1426"/>
    </row>
    <row r="452" spans="4:55" ht="12.95" customHeight="1">
      <c r="D452" s="1428" t="s">
        <v>1035</v>
      </c>
      <c r="E452" s="1429"/>
      <c r="F452" s="1429"/>
      <c r="G452" s="1429"/>
      <c r="H452" s="1429"/>
      <c r="I452" s="1429"/>
      <c r="J452" s="1429"/>
      <c r="K452" s="1429"/>
      <c r="L452" s="1429"/>
      <c r="M452" s="1429"/>
      <c r="N452" s="1429"/>
      <c r="O452" s="1429"/>
      <c r="P452" s="1429"/>
      <c r="Q452" s="1429"/>
      <c r="R452" s="1429"/>
      <c r="S452" s="1429"/>
      <c r="T452" s="1429"/>
      <c r="U452" s="1429"/>
      <c r="V452" s="1429"/>
      <c r="W452" s="1429"/>
      <c r="X452" s="1429"/>
      <c r="Y452" s="1429"/>
      <c r="Z452" s="1429"/>
      <c r="AA452" s="1429"/>
      <c r="AB452" s="1429"/>
      <c r="AC452" s="1429"/>
      <c r="AD452" s="1429"/>
      <c r="AE452" s="1429"/>
      <c r="AF452" s="1430"/>
      <c r="AG452" s="1426">
        <v>51876</v>
      </c>
      <c r="AH452" s="1426"/>
      <c r="AI452" s="1426"/>
      <c r="AJ452" s="1426"/>
    </row>
    <row r="453" spans="4:55" ht="12.95" customHeight="1">
      <c r="D453" s="1428" t="s">
        <v>1036</v>
      </c>
      <c r="E453" s="1429"/>
      <c r="F453" s="1429"/>
      <c r="G453" s="1429"/>
      <c r="H453" s="1429"/>
      <c r="I453" s="1429"/>
      <c r="J453" s="1429"/>
      <c r="K453" s="1429"/>
      <c r="L453" s="1429"/>
      <c r="M453" s="1429"/>
      <c r="N453" s="1429"/>
      <c r="O453" s="1429"/>
      <c r="P453" s="1429"/>
      <c r="Q453" s="1429"/>
      <c r="R453" s="1429"/>
      <c r="S453" s="1429"/>
      <c r="T453" s="1429"/>
      <c r="U453" s="1429"/>
      <c r="V453" s="1429"/>
      <c r="W453" s="1429"/>
      <c r="X453" s="1429"/>
      <c r="Y453" s="1429"/>
      <c r="Z453" s="1429"/>
      <c r="AA453" s="1429"/>
      <c r="AB453" s="1429"/>
      <c r="AC453" s="1429"/>
      <c r="AD453" s="1429"/>
      <c r="AE453" s="1429"/>
      <c r="AF453" s="1430"/>
      <c r="AG453" s="1330">
        <f>IF(ISERROR(AG452/AG451),0,AG452/AG451)</f>
        <v>1</v>
      </c>
      <c r="AH453" s="1330"/>
      <c r="AI453" s="1330"/>
      <c r="AJ453" s="1330"/>
    </row>
    <row r="454" spans="4:55" ht="12.95" customHeight="1">
      <c r="D454" s="1428" t="s">
        <v>1037</v>
      </c>
      <c r="E454" s="1429"/>
      <c r="F454" s="1429"/>
      <c r="G454" s="1429"/>
      <c r="H454" s="1429"/>
      <c r="I454" s="1429"/>
      <c r="J454" s="1429"/>
      <c r="K454" s="1429"/>
      <c r="L454" s="1429"/>
      <c r="M454" s="1429"/>
      <c r="N454" s="1429"/>
      <c r="O454" s="1429"/>
      <c r="P454" s="1429"/>
      <c r="Q454" s="1429"/>
      <c r="R454" s="1429"/>
      <c r="S454" s="1429"/>
      <c r="T454" s="1429"/>
      <c r="U454" s="1429"/>
      <c r="V454" s="1429"/>
      <c r="W454" s="1429"/>
      <c r="X454" s="1429"/>
      <c r="Y454" s="1429"/>
      <c r="Z454" s="1429"/>
      <c r="AA454" s="1429"/>
      <c r="AB454" s="1429"/>
      <c r="AC454" s="1429"/>
      <c r="AD454" s="1429"/>
      <c r="AE454" s="1429"/>
      <c r="AF454" s="1430"/>
      <c r="AG454" s="1330">
        <f>MIN(IF(AG450&gt;AG453,AG453,AG450),1)</f>
        <v>1</v>
      </c>
      <c r="AH454" s="1330"/>
      <c r="AI454" s="1330"/>
      <c r="AJ454" s="1330"/>
    </row>
    <row r="455" spans="4:55" ht="12.95" customHeight="1">
      <c r="D455" s="1428" t="s">
        <v>2042</v>
      </c>
      <c r="E455" s="1336"/>
      <c r="F455" s="1336"/>
      <c r="G455" s="1336"/>
      <c r="H455" s="1336"/>
      <c r="I455" s="1336"/>
      <c r="J455" s="1336"/>
      <c r="K455" s="1336"/>
      <c r="L455" s="1336"/>
      <c r="M455" s="1336"/>
      <c r="N455" s="1336"/>
      <c r="O455" s="1336"/>
      <c r="P455" s="1336"/>
      <c r="Q455" s="1336"/>
      <c r="R455" s="1336"/>
      <c r="S455" s="1336"/>
      <c r="T455" s="1336"/>
      <c r="U455" s="1336"/>
      <c r="V455" s="1336"/>
      <c r="W455" s="1336"/>
      <c r="X455" s="1336"/>
      <c r="Y455" s="1336"/>
      <c r="Z455" s="1336"/>
      <c r="AA455" s="1336"/>
      <c r="AB455" s="1336"/>
      <c r="AC455" s="1336"/>
      <c r="AD455" s="1336"/>
      <c r="AE455" s="1336"/>
      <c r="AF455" s="1337"/>
      <c r="AG455" s="1426">
        <v>4157</v>
      </c>
      <c r="AH455" s="1426"/>
      <c r="AI455" s="1426"/>
      <c r="AJ455" s="1426"/>
      <c r="AZ455" s="34"/>
      <c r="BA455" s="34"/>
      <c r="BB455" s="34"/>
      <c r="BC455" s="34"/>
    </row>
    <row r="456" spans="4:55" ht="12.95" customHeight="1">
      <c r="D456" s="1335" t="s">
        <v>569</v>
      </c>
      <c r="E456" s="1336"/>
      <c r="F456" s="1336"/>
      <c r="G456" s="1336"/>
      <c r="H456" s="1336"/>
      <c r="I456" s="1336"/>
      <c r="J456" s="1336"/>
      <c r="K456" s="1336"/>
      <c r="L456" s="1336"/>
      <c r="M456" s="1336"/>
      <c r="N456" s="1336"/>
      <c r="O456" s="1336"/>
      <c r="P456" s="1336"/>
      <c r="Q456" s="1336"/>
      <c r="R456" s="1336"/>
      <c r="S456" s="1336"/>
      <c r="T456" s="1336"/>
      <c r="U456" s="1336"/>
      <c r="V456" s="1336"/>
      <c r="W456" s="1336"/>
      <c r="X456" s="1336"/>
      <c r="Y456" s="1336"/>
      <c r="Z456" s="1336"/>
      <c r="AA456" s="1336"/>
      <c r="AB456" s="1336"/>
      <c r="AC456" s="1336"/>
      <c r="AD456" s="1336"/>
      <c r="AE456" s="1336"/>
      <c r="AF456" s="1337"/>
      <c r="AG456" s="1426">
        <v>1393</v>
      </c>
      <c r="AH456" s="1426"/>
      <c r="AI456" s="1426"/>
      <c r="AJ456" s="1426"/>
      <c r="AZ456" s="3"/>
      <c r="BA456" s="3"/>
      <c r="BB456" s="3"/>
      <c r="BC456" s="3"/>
    </row>
    <row r="457" spans="4:55" ht="12.95" customHeight="1">
      <c r="D457" s="1428" t="s">
        <v>1205</v>
      </c>
      <c r="E457" s="1336"/>
      <c r="F457" s="1336"/>
      <c r="G457" s="1336"/>
      <c r="H457" s="1336"/>
      <c r="I457" s="1336"/>
      <c r="J457" s="1336"/>
      <c r="K457" s="1336"/>
      <c r="L457" s="1336"/>
      <c r="M457" s="1336"/>
      <c r="N457" s="1336"/>
      <c r="O457" s="1336"/>
      <c r="P457" s="1336"/>
      <c r="Q457" s="1336"/>
      <c r="R457" s="1336"/>
      <c r="S457" s="1336"/>
      <c r="T457" s="1336"/>
      <c r="U457" s="1336"/>
      <c r="V457" s="1336"/>
      <c r="W457" s="1336"/>
      <c r="X457" s="1336"/>
      <c r="Y457" s="1336"/>
      <c r="Z457" s="1336"/>
      <c r="AA457" s="1336"/>
      <c r="AB457" s="1336"/>
      <c r="AC457" s="1336"/>
      <c r="AD457" s="1336"/>
      <c r="AE457" s="1336"/>
      <c r="AF457" s="1337"/>
      <c r="AG457" s="1426">
        <v>0</v>
      </c>
      <c r="AH457" s="1426"/>
      <c r="AI457" s="1426"/>
      <c r="AJ457" s="1426"/>
      <c r="AZ457" s="3"/>
      <c r="BA457" s="3"/>
      <c r="BB457" s="3"/>
      <c r="BC457" s="3"/>
    </row>
    <row r="458" spans="4:55" ht="12.95" customHeight="1">
      <c r="D458" s="1428" t="s">
        <v>1038</v>
      </c>
      <c r="E458" s="1336"/>
      <c r="F458" s="1336"/>
      <c r="G458" s="1336"/>
      <c r="H458" s="1336"/>
      <c r="I458" s="1336"/>
      <c r="J458" s="1336"/>
      <c r="K458" s="1336"/>
      <c r="L458" s="1336"/>
      <c r="M458" s="1336"/>
      <c r="N458" s="1336"/>
      <c r="O458" s="1336"/>
      <c r="P458" s="1336"/>
      <c r="Q458" s="1336"/>
      <c r="R458" s="1336"/>
      <c r="S458" s="1336"/>
      <c r="T458" s="1336"/>
      <c r="U458" s="1336"/>
      <c r="V458" s="1336"/>
      <c r="W458" s="1336"/>
      <c r="X458" s="1336"/>
      <c r="Y458" s="1336"/>
      <c r="Z458" s="1336"/>
      <c r="AA458" s="1336"/>
      <c r="AB458" s="1336"/>
      <c r="AC458" s="1336"/>
      <c r="AD458" s="1336"/>
      <c r="AE458" s="1336"/>
      <c r="AF458" s="1337"/>
      <c r="AG458" s="1426">
        <v>19824</v>
      </c>
      <c r="AH458" s="1426"/>
      <c r="AI458" s="1426"/>
      <c r="AJ458" s="1426"/>
      <c r="BB458" s="3"/>
      <c r="BC458" s="3"/>
    </row>
    <row r="459" spans="4:55" ht="12.95" customHeight="1">
      <c r="D459" s="1499" t="s">
        <v>1039</v>
      </c>
      <c r="E459" s="1500"/>
      <c r="F459" s="1500"/>
      <c r="G459" s="1500"/>
      <c r="H459" s="1500"/>
      <c r="I459" s="1500"/>
      <c r="J459" s="1500"/>
      <c r="K459" s="1500"/>
      <c r="L459" s="1500"/>
      <c r="M459" s="1500"/>
      <c r="N459" s="1500"/>
      <c r="O459" s="1500"/>
      <c r="P459" s="1500"/>
      <c r="Q459" s="1500"/>
      <c r="R459" s="1500"/>
      <c r="S459" s="1500"/>
      <c r="T459" s="1500"/>
      <c r="U459" s="1500"/>
      <c r="V459" s="1500"/>
      <c r="W459" s="1500"/>
      <c r="X459" s="1500"/>
      <c r="Y459" s="1500"/>
      <c r="Z459" s="1500"/>
      <c r="AA459" s="1500"/>
      <c r="AB459" s="1500"/>
      <c r="AC459" s="1500"/>
      <c r="AD459" s="1500"/>
      <c r="AE459" s="1500"/>
      <c r="AF459" s="1501"/>
      <c r="AG459" s="1369">
        <f>AG451+AG455+AG457+AG458</f>
        <v>75857</v>
      </c>
      <c r="AH459" s="1369"/>
      <c r="AI459" s="1369"/>
      <c r="AJ459" s="1369"/>
      <c r="AZ459" s="3"/>
      <c r="BA459" s="3"/>
      <c r="BB459" s="3"/>
      <c r="BC459" s="3"/>
    </row>
    <row r="460" spans="4:55" ht="12.95" customHeight="1">
      <c r="D460" s="1503" t="s">
        <v>1206</v>
      </c>
      <c r="E460" s="1503"/>
      <c r="F460" s="1503"/>
      <c r="G460" s="1503"/>
      <c r="H460" s="1503"/>
      <c r="I460" s="1503"/>
      <c r="J460" s="1503"/>
      <c r="K460" s="1503"/>
      <c r="L460" s="1503"/>
      <c r="M460" s="1503"/>
      <c r="N460" s="1503"/>
      <c r="O460" s="1503"/>
      <c r="P460" s="1503"/>
      <c r="Q460" s="1503"/>
      <c r="R460" s="1503"/>
      <c r="S460" s="1503"/>
      <c r="T460" s="1503"/>
      <c r="U460" s="1503"/>
      <c r="V460" s="1503"/>
      <c r="W460" s="1503"/>
      <c r="X460" s="1503"/>
      <c r="Y460" s="1503"/>
      <c r="Z460" s="1503"/>
      <c r="AA460" s="1503"/>
      <c r="AB460" s="1503"/>
      <c r="AC460" s="1503"/>
      <c r="AD460" s="1503"/>
      <c r="AE460" s="1503"/>
      <c r="AF460" s="1503"/>
      <c r="AG460" s="1503"/>
      <c r="AH460" s="1503"/>
      <c r="AI460" s="1503"/>
      <c r="AJ460" s="1503"/>
      <c r="AZ460" s="3"/>
      <c r="BA460" s="3"/>
      <c r="BB460" s="3"/>
      <c r="BC460" s="3"/>
    </row>
    <row r="461" spans="4:55" ht="12.95" customHeight="1">
      <c r="D461" s="1504"/>
      <c r="E461" s="1504"/>
      <c r="F461" s="1504"/>
      <c r="G461" s="1504"/>
      <c r="H461" s="1504"/>
      <c r="I461" s="1504"/>
      <c r="J461" s="1504"/>
      <c r="K461" s="1504"/>
      <c r="L461" s="1504"/>
      <c r="M461" s="1504"/>
      <c r="N461" s="1504"/>
      <c r="O461" s="1504"/>
      <c r="P461" s="1504"/>
      <c r="Q461" s="1504"/>
      <c r="R461" s="1504"/>
      <c r="S461" s="1504"/>
      <c r="T461" s="1504"/>
      <c r="U461" s="1504"/>
      <c r="V461" s="1504"/>
      <c r="W461" s="1504"/>
      <c r="X461" s="1504"/>
      <c r="Y461" s="1504"/>
      <c r="Z461" s="1504"/>
      <c r="AA461" s="1504"/>
      <c r="AB461" s="1504"/>
      <c r="AC461" s="1504"/>
      <c r="AD461" s="1504"/>
      <c r="AE461" s="1504"/>
      <c r="AF461" s="1504"/>
      <c r="AG461" s="1504"/>
      <c r="AH461" s="1504"/>
      <c r="AI461" s="1504"/>
      <c r="AJ461" s="1504"/>
      <c r="AZ461" s="3"/>
      <c r="BA461" s="3"/>
      <c r="BB461" s="3"/>
      <c r="BC461" s="3"/>
    </row>
    <row r="462" spans="4:55" ht="12.95" customHeight="1">
      <c r="D462" s="531"/>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N583</f>
        <v>Yes</v>
      </c>
      <c r="BB462" s="3"/>
      <c r="BC462" s="3"/>
    </row>
    <row r="463" spans="4:55" ht="12.95" customHeight="1">
      <c r="D463" s="205" t="s">
        <v>814</v>
      </c>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405">
        <f>IF(AG446=0,"",'Sources and Uses Budget'!B105/Application!AG446)</f>
        <v>697615.04081632651</v>
      </c>
      <c r="AD463" s="1405"/>
      <c r="AE463" s="1405"/>
      <c r="AF463" s="1405"/>
      <c r="AG463" s="177"/>
      <c r="AH463" s="177"/>
      <c r="AI463" s="177"/>
      <c r="AJ463" s="183"/>
      <c r="AZ463" s="3"/>
      <c r="BA463" s="3" t="str">
        <f>AG583</f>
        <v>Yes</v>
      </c>
      <c r="BB463" s="3"/>
      <c r="BC463" s="3"/>
    </row>
    <row r="464" spans="4:55" ht="12.95" customHeight="1">
      <c r="D464" s="205" t="s">
        <v>815</v>
      </c>
      <c r="E464" s="177"/>
      <c r="F464" s="177"/>
      <c r="G464" s="177"/>
      <c r="H464" s="177"/>
      <c r="I464" s="177"/>
      <c r="J464" s="177"/>
      <c r="K464" s="177"/>
      <c r="L464" s="177"/>
      <c r="M464" s="177"/>
      <c r="N464" s="177"/>
      <c r="O464" s="177"/>
      <c r="P464" s="177"/>
      <c r="Q464" s="177"/>
      <c r="R464" s="177"/>
      <c r="S464" s="177"/>
      <c r="T464" s="177"/>
      <c r="U464" s="177"/>
      <c r="V464" s="177"/>
      <c r="W464" s="177"/>
      <c r="X464" s="177"/>
      <c r="Y464" s="177"/>
      <c r="Z464" s="177"/>
      <c r="AA464" s="177"/>
      <c r="AB464" s="177"/>
      <c r="AC464" s="1405">
        <f>IF(AG446=0,"",'Sources and Uses Budget'!C105/Application!AG446)</f>
        <v>697615.04081632651</v>
      </c>
      <c r="AD464" s="1405"/>
      <c r="AE464" s="1405"/>
      <c r="AF464" s="1405"/>
      <c r="AG464" s="177"/>
      <c r="AH464" s="177"/>
      <c r="AI464" s="177"/>
      <c r="AJ464" s="183"/>
      <c r="AZ464" s="3"/>
      <c r="BA464" s="3"/>
      <c r="BB464" s="3"/>
      <c r="BC464" s="3"/>
    </row>
    <row r="465" spans="1:55" ht="12.95" customHeight="1">
      <c r="D465" s="205" t="s">
        <v>863</v>
      </c>
      <c r="E465" s="177"/>
      <c r="F465" s="177"/>
      <c r="G465" s="177"/>
      <c r="H465" s="177"/>
      <c r="I465" s="177"/>
      <c r="J465" s="177"/>
      <c r="K465" s="177"/>
      <c r="L465" s="177"/>
      <c r="M465" s="177"/>
      <c r="N465" s="177"/>
      <c r="O465" s="177"/>
      <c r="P465" s="177"/>
      <c r="Q465" s="177"/>
      <c r="R465" s="177"/>
      <c r="S465" s="177"/>
      <c r="T465" s="177"/>
      <c r="U465" s="177"/>
      <c r="V465" s="177"/>
      <c r="W465" s="177"/>
      <c r="X465" s="177"/>
      <c r="Y465" s="177"/>
      <c r="Z465" s="177"/>
      <c r="AA465" s="177"/>
      <c r="AB465" s="177"/>
      <c r="AC465" s="1405">
        <f>IF(AG446=0,"",('Sources and Uses Budget'!$S$107+'Sources and Uses Budget'!$T$107)/Application!AG446)</f>
        <v>631172.02040816331</v>
      </c>
      <c r="AD465" s="1405"/>
      <c r="AE465" s="1405"/>
      <c r="AF465" s="1405"/>
      <c r="AG465" s="177"/>
      <c r="AH465" s="177"/>
      <c r="AI465" s="177"/>
      <c r="AJ465" s="183"/>
      <c r="AZ465" s="3"/>
      <c r="BA465" s="3"/>
      <c r="BB465" s="3"/>
      <c r="BC465" s="3"/>
    </row>
    <row r="466" spans="1:55" ht="12.95" customHeight="1">
      <c r="D466" s="177"/>
      <c r="E466" s="177"/>
      <c r="F466" s="1193"/>
      <c r="G466" s="1193"/>
      <c r="H466" s="1193"/>
      <c r="I466" s="1193"/>
      <c r="J466" s="1193"/>
      <c r="K466" s="1193"/>
      <c r="L466" s="1193"/>
      <c r="M466" s="1193"/>
      <c r="N466" s="1193"/>
      <c r="O466" s="1193"/>
      <c r="P466" s="1193"/>
      <c r="Q466" s="1193"/>
      <c r="R466" s="1193"/>
      <c r="S466" s="1193"/>
      <c r="T466" s="1193"/>
      <c r="U466" s="1193"/>
      <c r="V466" s="1193"/>
      <c r="W466" s="1193"/>
      <c r="X466" s="1193"/>
      <c r="Y466" s="1193"/>
      <c r="Z466" s="1193"/>
      <c r="AA466" s="1193"/>
      <c r="AB466" s="1193"/>
      <c r="AC466" s="515"/>
      <c r="AD466" s="177"/>
      <c r="AE466" s="177"/>
      <c r="AF466" s="177"/>
      <c r="AG466" s="177"/>
      <c r="AH466" s="177"/>
      <c r="AI466" s="177"/>
      <c r="AJ466" s="183"/>
      <c r="AZ466" s="3"/>
      <c r="BA466" s="3"/>
      <c r="BB466" s="3"/>
      <c r="BC466" s="3"/>
    </row>
    <row r="467" spans="1:55" ht="12.95" customHeight="1">
      <c r="A467" s="2" t="s">
        <v>613</v>
      </c>
      <c r="D467" s="2" t="s">
        <v>248</v>
      </c>
      <c r="E467" s="177"/>
      <c r="F467" s="177"/>
      <c r="G467" s="177"/>
      <c r="H467" s="177"/>
      <c r="I467" s="177"/>
      <c r="J467" s="177"/>
      <c r="K467" s="177"/>
      <c r="L467" s="177"/>
      <c r="M467" s="177"/>
      <c r="N467" s="177"/>
      <c r="O467" s="177"/>
      <c r="P467" s="177"/>
      <c r="Q467" s="177"/>
      <c r="R467" s="177"/>
      <c r="S467" s="177"/>
      <c r="T467" s="177"/>
      <c r="U467" s="177"/>
      <c r="V467" s="177"/>
      <c r="W467" s="177"/>
      <c r="X467" s="177"/>
      <c r="Y467" s="177"/>
      <c r="Z467" s="177"/>
      <c r="AA467" s="177"/>
      <c r="AB467" s="177"/>
      <c r="AC467" s="177"/>
      <c r="AD467" s="177"/>
      <c r="AE467" s="177"/>
      <c r="AF467" s="177"/>
      <c r="AG467" s="177"/>
      <c r="AH467" s="177"/>
      <c r="AI467" s="177"/>
      <c r="AJ467" s="183"/>
      <c r="AZ467" s="3"/>
      <c r="BA467" s="3"/>
      <c r="BB467" s="3"/>
      <c r="BC467" s="3"/>
    </row>
    <row r="468" spans="1:55" ht="12.95" customHeight="1">
      <c r="D468" s="184" t="s">
        <v>1849</v>
      </c>
      <c r="E468" s="177"/>
      <c r="F468" s="177"/>
      <c r="G468" s="177"/>
      <c r="H468" s="177"/>
      <c r="I468" s="177"/>
      <c r="J468" s="177"/>
      <c r="K468" s="177"/>
      <c r="L468" s="177"/>
      <c r="M468" s="177"/>
      <c r="N468" s="177"/>
      <c r="O468" s="177"/>
      <c r="P468" s="177"/>
      <c r="Q468" s="177"/>
      <c r="R468" s="177"/>
      <c r="S468" s="177"/>
      <c r="T468" s="177"/>
      <c r="U468" s="177"/>
      <c r="V468" s="177"/>
      <c r="W468" s="177"/>
      <c r="X468" s="177"/>
      <c r="Y468" s="177"/>
      <c r="Z468" s="177"/>
      <c r="AA468" s="177"/>
      <c r="AB468" s="177"/>
      <c r="AC468" s="177"/>
      <c r="AD468" s="177"/>
      <c r="AE468" s="177"/>
      <c r="AF468" s="177"/>
      <c r="AG468" s="177"/>
      <c r="AH468" s="177"/>
      <c r="AI468" s="177"/>
      <c r="AJ468" s="183"/>
      <c r="AZ468" s="3"/>
      <c r="BA468" s="3"/>
      <c r="BB468" s="3"/>
      <c r="BC468" s="3"/>
    </row>
    <row r="469" spans="1:55" ht="12.95" customHeight="1">
      <c r="D469" s="184" t="s">
        <v>1850</v>
      </c>
      <c r="E469" s="177"/>
      <c r="F469" s="177"/>
      <c r="G469" s="177"/>
      <c r="H469" s="177"/>
      <c r="I469" s="177"/>
      <c r="J469" s="177"/>
      <c r="K469" s="177"/>
      <c r="L469" s="177"/>
      <c r="M469" s="177"/>
      <c r="N469" s="177"/>
      <c r="O469" s="177"/>
      <c r="P469" s="177"/>
      <c r="Q469" s="177"/>
      <c r="R469" s="177"/>
      <c r="S469" s="177"/>
      <c r="T469" s="177"/>
      <c r="U469" s="177"/>
      <c r="V469" s="177"/>
      <c r="W469" s="177"/>
      <c r="X469" s="177"/>
      <c r="Y469" s="177"/>
      <c r="Z469" s="177"/>
      <c r="AA469" s="177"/>
      <c r="AB469" s="177"/>
      <c r="AC469" s="177"/>
      <c r="AD469" s="177"/>
      <c r="AE469" s="177"/>
      <c r="AF469" s="177"/>
      <c r="AG469" s="177"/>
      <c r="AH469" s="177"/>
      <c r="AI469" s="177"/>
      <c r="AJ469" s="183"/>
      <c r="AZ469" s="3"/>
      <c r="BA469" s="3" t="str">
        <f>N591</f>
        <v>Yes</v>
      </c>
      <c r="BB469" s="3"/>
      <c r="BC469" s="3"/>
    </row>
    <row r="470" spans="1:55" ht="12.95" customHeight="1">
      <c r="D470" s="184" t="s">
        <v>1851</v>
      </c>
      <c r="E470" s="177"/>
      <c r="F470" s="177"/>
      <c r="G470" s="177"/>
      <c r="H470" s="177"/>
      <c r="I470" s="177"/>
      <c r="J470" s="177"/>
      <c r="K470" s="177"/>
      <c r="L470" s="177"/>
      <c r="M470" s="177"/>
      <c r="N470" s="177"/>
      <c r="O470" s="177"/>
      <c r="P470" s="177"/>
      <c r="Q470" s="177"/>
      <c r="R470" s="177"/>
      <c r="S470" s="177"/>
      <c r="T470" s="177"/>
      <c r="U470" s="177"/>
      <c r="V470" s="177"/>
      <c r="W470" s="177"/>
      <c r="X470" s="177"/>
      <c r="Y470" s="177"/>
      <c r="Z470" s="177"/>
      <c r="AA470" s="177"/>
      <c r="AB470" s="177"/>
      <c r="AC470" s="177"/>
      <c r="AD470" s="177"/>
      <c r="AE470" s="177"/>
      <c r="AF470" s="177"/>
      <c r="AG470" s="177"/>
      <c r="AH470" s="177"/>
      <c r="AI470" s="177"/>
      <c r="AJ470" s="183"/>
      <c r="AZ470" s="3"/>
      <c r="BA470" s="3" t="str">
        <f>AG591</f>
        <v>Yes</v>
      </c>
      <c r="BB470" s="3"/>
      <c r="BC470" s="3"/>
    </row>
    <row r="471" spans="1:55" ht="12.95" customHeight="1">
      <c r="D471" s="531"/>
      <c r="E471" s="177"/>
      <c r="F471" s="177"/>
      <c r="G471" s="177"/>
      <c r="H471" s="177"/>
      <c r="I471" s="177"/>
      <c r="J471" s="177"/>
      <c r="K471" s="177"/>
      <c r="L471" s="177"/>
      <c r="M471" s="177"/>
      <c r="N471" s="177"/>
      <c r="O471" s="177"/>
      <c r="P471" s="177"/>
      <c r="Q471" s="177"/>
      <c r="R471" s="177"/>
      <c r="S471" s="177"/>
      <c r="T471" s="177"/>
      <c r="U471" s="177"/>
      <c r="V471" s="177"/>
      <c r="W471" s="177"/>
      <c r="X471" s="177"/>
      <c r="Y471" s="177"/>
      <c r="Z471" s="177"/>
      <c r="AA471" s="177"/>
      <c r="AB471" s="177"/>
      <c r="AC471" s="177"/>
      <c r="AD471" s="177"/>
      <c r="AE471" s="177"/>
      <c r="AF471" s="177"/>
      <c r="AG471" s="177"/>
      <c r="AH471" s="177"/>
      <c r="AI471" s="177"/>
      <c r="AJ471" s="183"/>
      <c r="AZ471" s="3"/>
      <c r="BA471" s="3"/>
      <c r="BB471" s="3"/>
      <c r="BC471" s="3"/>
    </row>
    <row r="472" spans="1:55" ht="12.95" customHeight="1">
      <c r="A472" s="3"/>
      <c r="B472" s="3"/>
      <c r="C472" s="3"/>
      <c r="D472" s="185" t="s">
        <v>692</v>
      </c>
      <c r="E472" s="184"/>
      <c r="F472" s="184"/>
      <c r="G472" s="184"/>
      <c r="H472" s="184"/>
      <c r="I472" s="184"/>
      <c r="J472" s="184"/>
      <c r="K472" s="184"/>
      <c r="L472" s="184"/>
      <c r="M472" s="184"/>
      <c r="N472" s="184"/>
      <c r="O472" s="184"/>
      <c r="P472" s="184"/>
      <c r="Q472" s="184"/>
      <c r="R472" s="184"/>
      <c r="S472" s="184"/>
      <c r="T472" s="184"/>
      <c r="U472" s="184"/>
      <c r="V472" s="184"/>
      <c r="W472" s="184"/>
      <c r="X472" s="184"/>
      <c r="Y472" s="184"/>
      <c r="Z472" s="184"/>
      <c r="AA472" s="184"/>
      <c r="AB472" s="184"/>
      <c r="AC472" s="184"/>
      <c r="AD472" s="177"/>
      <c r="AE472" s="177"/>
      <c r="AF472" s="177"/>
      <c r="AG472" s="177"/>
      <c r="AH472" s="177"/>
      <c r="AI472" s="177"/>
      <c r="AJ472" s="183"/>
      <c r="AZ472" s="3"/>
      <c r="BA472" s="3"/>
      <c r="BB472" s="3"/>
      <c r="BC472" s="3"/>
    </row>
    <row r="473" spans="1:55" ht="12.95" customHeight="1">
      <c r="A473" s="3"/>
      <c r="B473" s="3"/>
      <c r="C473" s="3"/>
      <c r="D473" s="1344" t="s">
        <v>2054</v>
      </c>
      <c r="E473" s="1371"/>
      <c r="F473" s="1371"/>
      <c r="G473" s="1371"/>
      <c r="H473" s="1371"/>
      <c r="I473" s="1371"/>
      <c r="J473" s="1371"/>
      <c r="K473" s="1371"/>
      <c r="L473" s="1371"/>
      <c r="M473" s="1371"/>
      <c r="N473" s="1371"/>
      <c r="O473" s="1371"/>
      <c r="P473" s="1371"/>
      <c r="Q473" s="1371"/>
      <c r="R473" s="1371"/>
      <c r="S473" s="1371"/>
      <c r="T473" s="1371"/>
      <c r="U473" s="1371"/>
      <c r="V473" s="1372"/>
      <c r="W473" s="1338">
        <v>0</v>
      </c>
      <c r="X473" s="1339"/>
      <c r="Y473" s="1340"/>
      <c r="Z473" s="184"/>
      <c r="AA473" s="184"/>
      <c r="AB473" s="184"/>
      <c r="AC473" s="184"/>
      <c r="AD473" s="177"/>
      <c r="AE473" s="177"/>
      <c r="AF473" s="177"/>
      <c r="AG473" s="177"/>
      <c r="AH473" s="177"/>
      <c r="AI473" s="177"/>
      <c r="AJ473" s="183"/>
      <c r="AZ473" s="3"/>
      <c r="BA473" s="3"/>
      <c r="BB473" s="3"/>
      <c r="BC473" s="3"/>
    </row>
    <row r="474" spans="1:55" ht="12.95" customHeight="1">
      <c r="A474" s="3"/>
      <c r="B474" s="3"/>
      <c r="C474" s="3"/>
      <c r="D474" s="1370" t="s">
        <v>693</v>
      </c>
      <c r="E474" s="1371"/>
      <c r="F474" s="1371"/>
      <c r="G474" s="1371"/>
      <c r="H474" s="1371"/>
      <c r="I474" s="1371"/>
      <c r="J474" s="1371"/>
      <c r="K474" s="1371"/>
      <c r="L474" s="1371"/>
      <c r="M474" s="1371"/>
      <c r="N474" s="1371"/>
      <c r="O474" s="1371"/>
      <c r="P474" s="1371"/>
      <c r="Q474" s="1371"/>
      <c r="R474" s="1371"/>
      <c r="S474" s="1371"/>
      <c r="T474" s="1371"/>
      <c r="U474" s="1371"/>
      <c r="V474" s="1372"/>
      <c r="W474" s="1338">
        <v>0</v>
      </c>
      <c r="X474" s="1339"/>
      <c r="Y474" s="1340"/>
      <c r="Z474" s="184"/>
      <c r="AA474" s="184"/>
      <c r="AB474" s="184"/>
      <c r="AC474" s="184"/>
      <c r="AD474" s="177"/>
      <c r="AE474" s="177"/>
      <c r="AF474" s="177"/>
      <c r="AG474" s="177"/>
      <c r="AH474" s="177"/>
      <c r="AI474" s="177"/>
      <c r="AJ474" s="183"/>
      <c r="AZ474" s="3"/>
      <c r="BA474" s="3"/>
      <c r="BB474" s="3"/>
      <c r="BC474" s="3"/>
    </row>
    <row r="475" spans="1:55" ht="12.95" customHeight="1">
      <c r="A475" s="3"/>
      <c r="B475" s="3"/>
      <c r="C475" s="3"/>
      <c r="D475" s="1370" t="s">
        <v>694</v>
      </c>
      <c r="E475" s="1371"/>
      <c r="F475" s="1371"/>
      <c r="G475" s="1371"/>
      <c r="H475" s="1371"/>
      <c r="I475" s="1371"/>
      <c r="J475" s="1371"/>
      <c r="K475" s="1371"/>
      <c r="L475" s="1371"/>
      <c r="M475" s="1371"/>
      <c r="N475" s="1371"/>
      <c r="O475" s="1371"/>
      <c r="P475" s="1371"/>
      <c r="Q475" s="1371"/>
      <c r="R475" s="1371"/>
      <c r="S475" s="1371"/>
      <c r="T475" s="1371"/>
      <c r="U475" s="1371"/>
      <c r="V475" s="1372"/>
      <c r="W475" s="1338">
        <v>0</v>
      </c>
      <c r="X475" s="1339"/>
      <c r="Y475" s="1340"/>
      <c r="Z475" s="184"/>
      <c r="AA475" s="184"/>
      <c r="AB475" s="184"/>
      <c r="AC475" s="184"/>
      <c r="AD475" s="177"/>
      <c r="AE475" s="177"/>
      <c r="AF475" s="177"/>
      <c r="AG475" s="177"/>
      <c r="AH475" s="177"/>
      <c r="AI475" s="177"/>
      <c r="AJ475" s="183"/>
      <c r="AZ475" s="3"/>
      <c r="BA475" s="3"/>
      <c r="BB475" s="3"/>
      <c r="BC475" s="3"/>
    </row>
    <row r="476" spans="1:55" ht="12.95" customHeight="1">
      <c r="A476" s="3"/>
      <c r="B476" s="3"/>
      <c r="C476" s="3"/>
      <c r="D476" s="1370" t="s">
        <v>695</v>
      </c>
      <c r="E476" s="1371"/>
      <c r="F476" s="1371"/>
      <c r="G476" s="1371"/>
      <c r="H476" s="1371"/>
      <c r="I476" s="1371"/>
      <c r="J476" s="1371"/>
      <c r="K476" s="1371"/>
      <c r="L476" s="1371"/>
      <c r="M476" s="1371"/>
      <c r="N476" s="1371"/>
      <c r="O476" s="1371"/>
      <c r="P476" s="1371"/>
      <c r="Q476" s="1371"/>
      <c r="R476" s="1371"/>
      <c r="S476" s="1371"/>
      <c r="T476" s="1371"/>
      <c r="U476" s="1371"/>
      <c r="V476" s="1372"/>
      <c r="W476" s="1338">
        <v>0</v>
      </c>
      <c r="X476" s="1339"/>
      <c r="Y476" s="1340"/>
      <c r="Z476" s="184"/>
      <c r="AA476" s="184"/>
      <c r="AB476" s="184"/>
      <c r="AC476" s="184"/>
      <c r="AD476" s="177"/>
      <c r="AE476" s="177"/>
      <c r="AF476" s="177"/>
      <c r="AG476" s="177"/>
      <c r="AH476" s="177"/>
      <c r="AI476" s="177"/>
      <c r="AJ476" s="183"/>
      <c r="AZ476" s="3"/>
      <c r="BA476" s="3"/>
      <c r="BB476" s="3"/>
      <c r="BC476" s="3"/>
    </row>
    <row r="477" spans="1:55" ht="12.95" customHeight="1">
      <c r="A477" s="3"/>
      <c r="B477" s="3"/>
      <c r="C477" s="3"/>
      <c r="D477" s="1370" t="s">
        <v>881</v>
      </c>
      <c r="E477" s="1371"/>
      <c r="F477" s="1371"/>
      <c r="G477" s="1371"/>
      <c r="H477" s="1371"/>
      <c r="I477" s="1371"/>
      <c r="J477" s="1371"/>
      <c r="K477" s="1371"/>
      <c r="L477" s="1371"/>
      <c r="M477" s="1371"/>
      <c r="N477" s="1371"/>
      <c r="O477" s="1371"/>
      <c r="P477" s="1371"/>
      <c r="Q477" s="1371"/>
      <c r="R477" s="1371"/>
      <c r="S477" s="1371"/>
      <c r="T477" s="1371"/>
      <c r="U477" s="1371"/>
      <c r="V477" s="1372"/>
      <c r="W477" s="1338">
        <v>0</v>
      </c>
      <c r="X477" s="1339"/>
      <c r="Y477" s="1340"/>
      <c r="Z477" s="184"/>
      <c r="AA477" s="184"/>
      <c r="AB477" s="184"/>
      <c r="AC477" s="184"/>
      <c r="AD477" s="177"/>
      <c r="AE477" s="177"/>
      <c r="AF477" s="177"/>
      <c r="AG477" s="177"/>
      <c r="AH477" s="177"/>
      <c r="AI477" s="177"/>
      <c r="AJ477" s="183"/>
      <c r="AZ477" s="3"/>
      <c r="BA477" s="3" t="str">
        <f>N599</f>
        <v>No</v>
      </c>
      <c r="BB477" s="3"/>
      <c r="BC477" s="3"/>
    </row>
    <row r="478" spans="1:55" ht="12.95" customHeight="1">
      <c r="A478" s="3"/>
      <c r="B478" s="3"/>
      <c r="C478" s="3"/>
      <c r="D478" s="1370" t="s">
        <v>696</v>
      </c>
      <c r="E478" s="1371"/>
      <c r="F478" s="1371"/>
      <c r="G478" s="1371"/>
      <c r="H478" s="1371"/>
      <c r="I478" s="1371"/>
      <c r="J478" s="1371"/>
      <c r="K478" s="1371"/>
      <c r="L478" s="1371"/>
      <c r="M478" s="1371"/>
      <c r="N478" s="1371"/>
      <c r="O478" s="1371"/>
      <c r="P478" s="1371"/>
      <c r="Q478" s="1371"/>
      <c r="R478" s="1371"/>
      <c r="S478" s="1371"/>
      <c r="T478" s="1371"/>
      <c r="U478" s="1371"/>
      <c r="V478" s="1372"/>
      <c r="W478" s="1338">
        <v>0</v>
      </c>
      <c r="X478" s="1339"/>
      <c r="Y478" s="1340"/>
      <c r="Z478" s="184"/>
      <c r="AA478" s="184"/>
      <c r="AB478" s="184"/>
      <c r="AC478" s="184"/>
      <c r="AD478" s="177"/>
      <c r="AE478" s="177"/>
      <c r="AF478" s="177"/>
      <c r="AG478" s="177"/>
      <c r="AH478" s="177"/>
      <c r="AI478" s="177"/>
      <c r="AJ478" s="183"/>
      <c r="AZ478" s="3"/>
      <c r="BA478" s="3" t="str">
        <f>AG599</f>
        <v>No</v>
      </c>
      <c r="BB478" s="3"/>
      <c r="BC478" s="3"/>
    </row>
    <row r="479" spans="1:55" ht="12.95" customHeight="1">
      <c r="A479" s="3"/>
      <c r="B479" s="3"/>
      <c r="C479" s="3"/>
      <c r="D479" s="1370" t="s">
        <v>1012</v>
      </c>
      <c r="E479" s="1371"/>
      <c r="F479" s="1371"/>
      <c r="G479" s="1371"/>
      <c r="H479" s="1371"/>
      <c r="I479" s="1371"/>
      <c r="J479" s="1371"/>
      <c r="K479" s="1371"/>
      <c r="L479" s="1371"/>
      <c r="M479" s="1371"/>
      <c r="N479" s="1371"/>
      <c r="O479" s="1371"/>
      <c r="P479" s="1371"/>
      <c r="Q479" s="1371"/>
      <c r="R479" s="1371"/>
      <c r="S479" s="1371"/>
      <c r="T479" s="1371"/>
      <c r="U479" s="1371"/>
      <c r="V479" s="1372"/>
      <c r="W479" s="1338">
        <v>0</v>
      </c>
      <c r="X479" s="1339"/>
      <c r="Y479" s="1340"/>
      <c r="Z479" s="184"/>
      <c r="AA479" s="184"/>
      <c r="AB479" s="184"/>
      <c r="AC479" s="184"/>
      <c r="AD479" s="177"/>
      <c r="AE479" s="177"/>
      <c r="AF479" s="177"/>
      <c r="AG479" s="177"/>
      <c r="AH479" s="177"/>
      <c r="AI479" s="177"/>
      <c r="AJ479" s="183"/>
      <c r="AZ479" s="3"/>
      <c r="BA479" s="3"/>
      <c r="BB479" s="3"/>
      <c r="BC479" s="3"/>
    </row>
    <row r="480" spans="1:55" ht="12.95" customHeight="1">
      <c r="A480" s="3"/>
      <c r="B480" s="3"/>
      <c r="C480" s="3"/>
      <c r="D480" s="1344" t="s">
        <v>2144</v>
      </c>
      <c r="E480" s="1345"/>
      <c r="F480" s="1345"/>
      <c r="G480" s="1345"/>
      <c r="H480" s="1345"/>
      <c r="I480" s="1345"/>
      <c r="J480" s="1345"/>
      <c r="K480" s="1345"/>
      <c r="L480" s="1345"/>
      <c r="M480" s="1345"/>
      <c r="N480" s="1345"/>
      <c r="O480" s="1345"/>
      <c r="P480" s="1345"/>
      <c r="Q480" s="1345"/>
      <c r="R480" s="1345"/>
      <c r="S480" s="1345"/>
      <c r="T480" s="1345"/>
      <c r="U480" s="1345"/>
      <c r="V480" s="1346"/>
      <c r="W480" s="1338">
        <v>0</v>
      </c>
      <c r="X480" s="1339"/>
      <c r="Y480" s="1340"/>
      <c r="Z480" s="184"/>
      <c r="AA480" s="184"/>
      <c r="AB480" s="184"/>
      <c r="AC480" s="184"/>
      <c r="AD480" s="177"/>
      <c r="AE480" s="177"/>
      <c r="AF480" s="177"/>
      <c r="AG480" s="177"/>
      <c r="AH480" s="177"/>
      <c r="AI480" s="177"/>
      <c r="AJ480" s="183"/>
      <c r="AZ480" s="3"/>
      <c r="BA480" s="3"/>
      <c r="BB480" s="3"/>
      <c r="BC480" s="3"/>
    </row>
    <row r="481" spans="1:55" ht="12.95" customHeight="1">
      <c r="A481" s="3"/>
      <c r="B481" s="3"/>
      <c r="C481" s="3"/>
      <c r="D481" s="1344" t="s">
        <v>1643</v>
      </c>
      <c r="E481" s="1371"/>
      <c r="F481" s="1371"/>
      <c r="G481" s="1371"/>
      <c r="H481" s="1371"/>
      <c r="I481" s="1371"/>
      <c r="J481" s="1371"/>
      <c r="K481" s="1371"/>
      <c r="L481" s="1371"/>
      <c r="M481" s="1371"/>
      <c r="N481" s="1371"/>
      <c r="O481" s="1371"/>
      <c r="P481" s="1371"/>
      <c r="Q481" s="1371"/>
      <c r="R481" s="1371"/>
      <c r="S481" s="1371"/>
      <c r="T481" s="1371"/>
      <c r="U481" s="1371"/>
      <c r="V481" s="1372"/>
      <c r="W481" s="1338">
        <v>0</v>
      </c>
      <c r="X481" s="1339"/>
      <c r="Y481" s="1340"/>
      <c r="Z481" s="184"/>
      <c r="AA481" s="184"/>
      <c r="AB481" s="184"/>
      <c r="AC481" s="184"/>
      <c r="AD481" s="177"/>
      <c r="AE481" s="177"/>
      <c r="AF481" s="177"/>
      <c r="AG481" s="177"/>
      <c r="AH481" s="177"/>
      <c r="AI481" s="177"/>
      <c r="AJ481" s="183"/>
      <c r="AZ481" s="3"/>
      <c r="BA481" s="3"/>
      <c r="BB481" s="3"/>
      <c r="BC481" s="3"/>
    </row>
    <row r="482" spans="1:55" ht="12.95" customHeight="1">
      <c r="A482" s="3"/>
      <c r="B482" s="3"/>
      <c r="C482" s="3"/>
      <c r="D482" s="243" t="s">
        <v>170</v>
      </c>
      <c r="E482" s="244"/>
      <c r="F482" s="245"/>
      <c r="G482" s="1771" t="s">
        <v>1040</v>
      </c>
      <c r="H482" s="1772"/>
      <c r="I482" s="1772"/>
      <c r="J482" s="1772"/>
      <c r="K482" s="1772"/>
      <c r="L482" s="1772"/>
      <c r="M482" s="1772"/>
      <c r="N482" s="1772"/>
      <c r="O482" s="1772"/>
      <c r="P482" s="1772"/>
      <c r="Q482" s="1772"/>
      <c r="R482" s="1772"/>
      <c r="S482" s="1772"/>
      <c r="T482" s="1772"/>
      <c r="U482" s="1772"/>
      <c r="V482" s="1773"/>
      <c r="W482" s="1338">
        <v>48</v>
      </c>
      <c r="X482" s="1339"/>
      <c r="Y482" s="1340"/>
      <c r="Z482" s="184"/>
      <c r="AA482" s="184"/>
      <c r="AB482" s="184"/>
      <c r="AC482" s="184"/>
      <c r="AD482" s="177"/>
      <c r="AE482" s="177"/>
      <c r="AF482" s="177"/>
      <c r="AG482" s="177"/>
      <c r="AH482" s="177"/>
      <c r="AI482" s="177"/>
      <c r="AJ482" s="183"/>
      <c r="AZ482" s="3"/>
      <c r="BA482" s="3"/>
      <c r="BB482" s="3"/>
      <c r="BC482" s="3"/>
    </row>
    <row r="483" spans="1:55" ht="12.95" customHeight="1">
      <c r="A483" s="3"/>
      <c r="B483" s="3"/>
      <c r="C483" s="3"/>
      <c r="D483" s="246" t="s">
        <v>882</v>
      </c>
      <c r="E483" s="247"/>
      <c r="F483" s="247"/>
      <c r="G483" s="185"/>
      <c r="H483" s="185"/>
      <c r="I483" s="185"/>
      <c r="J483" s="185"/>
      <c r="K483" s="185"/>
      <c r="L483" s="185"/>
      <c r="M483" s="185"/>
      <c r="N483" s="185"/>
      <c r="O483" s="185"/>
      <c r="P483" s="185"/>
      <c r="Q483" s="185"/>
      <c r="R483" s="185"/>
      <c r="S483" s="185"/>
      <c r="T483" s="185"/>
      <c r="U483" s="185"/>
      <c r="V483" s="185"/>
      <c r="W483" s="248"/>
      <c r="X483" s="248"/>
      <c r="Y483" s="249"/>
      <c r="Z483" s="184"/>
      <c r="AA483" s="184"/>
      <c r="AB483" s="184"/>
      <c r="AC483" s="184"/>
      <c r="AD483" s="177"/>
      <c r="AE483" s="177"/>
      <c r="AF483" s="177"/>
      <c r="AG483" s="177"/>
      <c r="AH483" s="177"/>
      <c r="AI483" s="177"/>
      <c r="AJ483" s="183"/>
      <c r="AZ483" s="3"/>
      <c r="BA483" s="3"/>
      <c r="BB483" s="3"/>
      <c r="BC483" s="3"/>
    </row>
    <row r="484" spans="1:55" ht="12.95" customHeight="1">
      <c r="A484" s="3"/>
      <c r="B484" s="3"/>
      <c r="C484" s="3"/>
      <c r="D484" s="250"/>
      <c r="E484" s="251"/>
      <c r="F484" s="251"/>
      <c r="G484" s="251"/>
      <c r="H484" s="251"/>
      <c r="I484" s="251"/>
      <c r="J484" s="251"/>
      <c r="K484" s="251"/>
      <c r="L484" s="251"/>
      <c r="M484" s="251"/>
      <c r="N484" s="251"/>
      <c r="O484" s="251"/>
      <c r="P484" s="251"/>
      <c r="Q484" s="251"/>
      <c r="R484" s="251"/>
      <c r="S484" s="251"/>
      <c r="T484" s="251"/>
      <c r="U484" s="251"/>
      <c r="V484" s="251"/>
      <c r="W484" s="252"/>
      <c r="X484" s="252"/>
      <c r="Y484" s="253"/>
      <c r="Z484" s="184"/>
      <c r="AA484" s="184"/>
      <c r="AB484" s="184"/>
      <c r="AC484" s="184"/>
      <c r="AD484" s="177"/>
      <c r="AE484" s="177"/>
      <c r="AF484" s="177"/>
      <c r="AG484" s="177"/>
      <c r="AH484" s="177"/>
      <c r="AI484" s="177"/>
      <c r="AJ484" s="183"/>
      <c r="AZ484" s="3"/>
      <c r="BA484" s="3"/>
      <c r="BB484" s="3"/>
      <c r="BC484" s="3"/>
    </row>
    <row r="485" spans="1:55" ht="12.95" customHeight="1">
      <c r="A485" s="3"/>
      <c r="B485" s="3"/>
      <c r="C485" s="3"/>
      <c r="D485" s="250"/>
      <c r="E485" s="251"/>
      <c r="F485" s="251"/>
      <c r="G485" s="251"/>
      <c r="H485" s="251"/>
      <c r="I485" s="251"/>
      <c r="J485" s="251"/>
      <c r="K485" s="251"/>
      <c r="L485" s="251"/>
      <c r="M485" s="251"/>
      <c r="N485" s="251"/>
      <c r="O485" s="251"/>
      <c r="P485" s="251"/>
      <c r="Q485" s="251"/>
      <c r="R485" s="251"/>
      <c r="S485" s="251"/>
      <c r="T485" s="251"/>
      <c r="U485" s="251"/>
      <c r="V485" s="251"/>
      <c r="W485" s="252"/>
      <c r="X485" s="252"/>
      <c r="Y485" s="253"/>
      <c r="Z485" s="184"/>
      <c r="AA485" s="184"/>
      <c r="AB485" s="184"/>
      <c r="AC485" s="184"/>
      <c r="AD485" s="177"/>
      <c r="AE485" s="177"/>
      <c r="AF485" s="177"/>
      <c r="AG485" s="177"/>
      <c r="AH485" s="177"/>
      <c r="AI485" s="177"/>
      <c r="AJ485" s="183"/>
      <c r="AZ485" s="3"/>
      <c r="BA485" s="3"/>
      <c r="BB485" s="3"/>
      <c r="BC485" s="3"/>
    </row>
    <row r="486" spans="1:55" ht="12.95" customHeight="1">
      <c r="A486" s="3"/>
      <c r="B486" s="3"/>
      <c r="C486" s="3"/>
      <c r="D486" s="250"/>
      <c r="E486" s="251"/>
      <c r="F486" s="251"/>
      <c r="G486" s="251"/>
      <c r="H486" s="251"/>
      <c r="I486" s="251"/>
      <c r="J486" s="251"/>
      <c r="K486" s="251"/>
      <c r="L486" s="251"/>
      <c r="M486" s="251"/>
      <c r="N486" s="251"/>
      <c r="O486" s="251"/>
      <c r="P486" s="251"/>
      <c r="Q486" s="251"/>
      <c r="R486" s="251"/>
      <c r="S486" s="251"/>
      <c r="T486" s="251"/>
      <c r="U486" s="251"/>
      <c r="V486" s="251"/>
      <c r="W486" s="252"/>
      <c r="X486" s="252"/>
      <c r="Y486" s="253"/>
      <c r="Z486" s="184"/>
      <c r="AA486" s="184"/>
      <c r="AB486" s="184"/>
      <c r="AC486" s="184"/>
      <c r="AD486" s="177"/>
      <c r="AE486" s="177"/>
      <c r="AF486" s="177"/>
      <c r="AG486" s="177"/>
      <c r="AH486" s="177"/>
      <c r="AI486" s="177"/>
      <c r="AJ486" s="183"/>
      <c r="AZ486" s="3"/>
      <c r="BA486" s="3" t="str">
        <f>N607</f>
        <v>No</v>
      </c>
      <c r="BB486" s="3"/>
      <c r="BC486" s="3"/>
    </row>
    <row r="487" spans="1:55" ht="12.95" customHeight="1">
      <c r="AU487" s="95"/>
      <c r="AV487" s="95"/>
      <c r="AW487" s="95"/>
      <c r="AX487" s="95"/>
      <c r="AY487" s="95"/>
      <c r="AZ487" s="3"/>
      <c r="BA487" s="3" t="str">
        <f>AG607</f>
        <v>No</v>
      </c>
      <c r="BB487" s="3"/>
      <c r="BC487" s="3"/>
    </row>
    <row r="488" spans="1:55" ht="12.95" customHeight="1">
      <c r="A488" s="1457" t="s">
        <v>810</v>
      </c>
      <c r="B488" s="1457"/>
      <c r="C488" s="1457"/>
      <c r="D488" s="1457"/>
      <c r="E488" s="1457"/>
      <c r="F488" s="1457"/>
      <c r="G488" s="1457"/>
      <c r="H488" s="1457"/>
      <c r="I488" s="1457"/>
      <c r="J488" s="1457"/>
      <c r="K488" s="1457"/>
      <c r="L488" s="1457"/>
      <c r="M488" s="1457"/>
      <c r="N488" s="1457"/>
      <c r="O488" s="1457"/>
      <c r="P488" s="1457"/>
      <c r="Q488" s="1457"/>
      <c r="R488" s="1457"/>
      <c r="S488" s="1457"/>
      <c r="T488" s="1457"/>
      <c r="U488" s="1457"/>
      <c r="V488" s="1457"/>
      <c r="W488" s="1457"/>
      <c r="X488" s="1457"/>
      <c r="Y488" s="1457"/>
      <c r="Z488" s="1457"/>
      <c r="AA488" s="1457"/>
      <c r="AB488" s="1457"/>
      <c r="AC488" s="1457"/>
      <c r="AD488" s="1457"/>
      <c r="AE488" s="1457"/>
      <c r="AF488" s="1457"/>
      <c r="AG488" s="1457"/>
      <c r="AH488" s="1457"/>
      <c r="AI488" s="1457"/>
      <c r="AJ488" s="1457"/>
      <c r="AK488" s="1457"/>
      <c r="AL488" s="1457"/>
      <c r="AM488" s="1457"/>
      <c r="AN488" s="1457"/>
      <c r="AO488" s="1457"/>
      <c r="AP488" s="1457"/>
      <c r="AQ488" s="1457"/>
      <c r="AR488" s="1457"/>
      <c r="AS488" s="1457"/>
      <c r="AT488" s="1457"/>
      <c r="AU488" s="95"/>
      <c r="AV488" s="95"/>
      <c r="AW488" s="95"/>
      <c r="AX488" s="95"/>
      <c r="AY488" s="95"/>
      <c r="AZ488" s="3"/>
      <c r="BB488" s="3"/>
      <c r="BC488" s="3"/>
    </row>
    <row r="489" spans="1:55" ht="12.95" customHeight="1">
      <c r="A489" s="1457"/>
      <c r="B489" s="1457"/>
      <c r="C489" s="1457"/>
      <c r="D489" s="1457"/>
      <c r="E489" s="1457"/>
      <c r="F489" s="1457"/>
      <c r="G489" s="1457"/>
      <c r="H489" s="1457"/>
      <c r="I489" s="1457"/>
      <c r="J489" s="1457"/>
      <c r="K489" s="1457"/>
      <c r="L489" s="1457"/>
      <c r="M489" s="1457"/>
      <c r="N489" s="1457"/>
      <c r="O489" s="1457"/>
      <c r="P489" s="1457"/>
      <c r="Q489" s="1457"/>
      <c r="R489" s="1457"/>
      <c r="S489" s="1457"/>
      <c r="T489" s="1457"/>
      <c r="U489" s="1457"/>
      <c r="V489" s="1457"/>
      <c r="W489" s="1457"/>
      <c r="X489" s="1457"/>
      <c r="Y489" s="1457"/>
      <c r="Z489" s="1457"/>
      <c r="AA489" s="1457"/>
      <c r="AB489" s="1457"/>
      <c r="AC489" s="1457"/>
      <c r="AD489" s="1457"/>
      <c r="AE489" s="1457"/>
      <c r="AF489" s="1457"/>
      <c r="AG489" s="1457"/>
      <c r="AH489" s="1457"/>
      <c r="AI489" s="1457"/>
      <c r="AJ489" s="1457"/>
      <c r="AK489" s="1457"/>
      <c r="AL489" s="1457"/>
      <c r="AM489" s="1457"/>
      <c r="AN489" s="1457"/>
      <c r="AO489" s="1457"/>
      <c r="AP489" s="1457"/>
      <c r="AQ489" s="1457"/>
      <c r="AR489" s="1457"/>
      <c r="AS489" s="1457"/>
      <c r="AT489" s="1457"/>
      <c r="AZ489" s="3"/>
      <c r="BB489" s="3"/>
      <c r="BC489" s="3"/>
    </row>
    <row r="490" spans="1:55" ht="12.95" customHeight="1">
      <c r="AZ490" s="3"/>
      <c r="BB490" s="3"/>
      <c r="BC490" s="3"/>
    </row>
    <row r="491" spans="1:55" ht="12.95" customHeight="1">
      <c r="A491" s="2" t="s">
        <v>319</v>
      </c>
      <c r="C491" s="2" t="s">
        <v>808</v>
      </c>
      <c r="AZ491" s="3"/>
      <c r="BB491" s="3"/>
      <c r="BC491" s="3"/>
    </row>
    <row r="492" spans="1:55" ht="12.95" customHeight="1">
      <c r="AZ492" s="3"/>
      <c r="BB492" s="3"/>
      <c r="BC492" s="3"/>
    </row>
    <row r="493" spans="1:55" ht="12.95" customHeight="1">
      <c r="B493" s="45"/>
      <c r="C493" s="5"/>
      <c r="D493" s="5"/>
      <c r="E493" s="5"/>
      <c r="F493" s="5"/>
      <c r="G493" s="5"/>
      <c r="H493" s="5"/>
      <c r="I493" s="5"/>
      <c r="J493" s="5"/>
      <c r="K493" s="5"/>
      <c r="L493" s="5"/>
      <c r="M493" s="5"/>
      <c r="N493" s="5"/>
      <c r="O493" s="5"/>
      <c r="P493" s="46"/>
      <c r="Q493" s="1341" t="s">
        <v>393</v>
      </c>
      <c r="R493" s="1342"/>
      <c r="S493" s="1342"/>
      <c r="T493" s="1342"/>
      <c r="U493" s="1342"/>
      <c r="V493" s="1342"/>
      <c r="W493" s="1342"/>
      <c r="X493" s="1342"/>
      <c r="Y493" s="1342"/>
      <c r="Z493" s="1342"/>
      <c r="AA493" s="1342"/>
      <c r="AB493" s="1342"/>
      <c r="AC493" s="1342"/>
      <c r="AD493" s="1342"/>
      <c r="AE493" s="1342"/>
      <c r="AF493" s="1342"/>
      <c r="AG493" s="1342"/>
      <c r="AH493" s="1342"/>
      <c r="AI493" s="1342"/>
      <c r="AJ493" s="1342"/>
      <c r="AK493" s="1343"/>
      <c r="AZ493" s="3"/>
      <c r="BB493" s="3"/>
      <c r="BC493" s="3"/>
    </row>
    <row r="494" spans="1:55" ht="12.95" customHeight="1">
      <c r="B494" s="45" t="s">
        <v>394</v>
      </c>
      <c r="C494" s="5"/>
      <c r="D494" s="5"/>
      <c r="E494" s="5"/>
      <c r="F494" s="5"/>
      <c r="G494" s="5"/>
      <c r="H494" s="5"/>
      <c r="I494" s="5"/>
      <c r="J494" s="5"/>
      <c r="K494" s="5"/>
      <c r="L494" s="5"/>
      <c r="M494" s="5"/>
      <c r="N494" s="5"/>
      <c r="O494" s="5"/>
      <c r="P494" s="5"/>
      <c r="Q494" s="1398" t="s">
        <v>2729</v>
      </c>
      <c r="R494" s="1399"/>
      <c r="S494" s="1399"/>
      <c r="T494" s="1399"/>
      <c r="U494" s="1399"/>
      <c r="V494" s="1399"/>
      <c r="W494" s="1399"/>
      <c r="X494" s="1399"/>
      <c r="Y494" s="1399"/>
      <c r="Z494" s="1399"/>
      <c r="AA494" s="1399"/>
      <c r="AB494" s="1399"/>
      <c r="AC494" s="1399"/>
      <c r="AD494" s="1399"/>
      <c r="AE494" s="1399"/>
      <c r="AF494" s="1399"/>
      <c r="AG494" s="1399"/>
      <c r="AH494" s="1399"/>
      <c r="AI494" s="1399"/>
      <c r="AJ494" s="1399"/>
      <c r="AK494" s="1400"/>
      <c r="AZ494" s="3"/>
      <c r="BB494" s="3"/>
      <c r="BC494" s="3"/>
    </row>
    <row r="495" spans="1:55" ht="12.95" customHeight="1">
      <c r="B495" s="45" t="s">
        <v>395</v>
      </c>
      <c r="C495" s="5"/>
      <c r="D495" s="5"/>
      <c r="E495" s="5"/>
      <c r="F495" s="5"/>
      <c r="G495" s="5"/>
      <c r="H495" s="5"/>
      <c r="I495" s="5"/>
      <c r="J495" s="5"/>
      <c r="K495" s="5"/>
      <c r="L495" s="5"/>
      <c r="M495" s="5"/>
      <c r="N495" s="5"/>
      <c r="O495" s="5"/>
      <c r="P495" s="5"/>
      <c r="Q495" s="1398" t="s">
        <v>2729</v>
      </c>
      <c r="R495" s="1399"/>
      <c r="S495" s="1399"/>
      <c r="T495" s="1399"/>
      <c r="U495" s="1399"/>
      <c r="V495" s="1399"/>
      <c r="W495" s="1399"/>
      <c r="X495" s="1399"/>
      <c r="Y495" s="1399"/>
      <c r="Z495" s="1399"/>
      <c r="AA495" s="1399"/>
      <c r="AB495" s="1399"/>
      <c r="AC495" s="1399"/>
      <c r="AD495" s="1399"/>
      <c r="AE495" s="1399"/>
      <c r="AF495" s="1399"/>
      <c r="AG495" s="1399"/>
      <c r="AH495" s="1399"/>
      <c r="AI495" s="1399"/>
      <c r="AJ495" s="1399"/>
      <c r="AK495" s="1400"/>
      <c r="AZ495" s="3"/>
      <c r="BB495" s="3"/>
      <c r="BC495" s="3"/>
    </row>
    <row r="496" spans="1:55" ht="12.95" customHeight="1">
      <c r="B496" s="45" t="s">
        <v>396</v>
      </c>
      <c r="C496" s="5"/>
      <c r="D496" s="5"/>
      <c r="E496" s="5"/>
      <c r="F496" s="5"/>
      <c r="G496" s="5"/>
      <c r="H496" s="5"/>
      <c r="I496" s="5"/>
      <c r="J496" s="5"/>
      <c r="K496" s="5"/>
      <c r="L496" s="5"/>
      <c r="M496" s="5"/>
      <c r="N496" s="5"/>
      <c r="O496" s="5"/>
      <c r="P496" s="5"/>
      <c r="Q496" s="1398" t="s">
        <v>2729</v>
      </c>
      <c r="R496" s="1399"/>
      <c r="S496" s="1399"/>
      <c r="T496" s="1399"/>
      <c r="U496" s="1399"/>
      <c r="V496" s="1399"/>
      <c r="W496" s="1399"/>
      <c r="X496" s="1399"/>
      <c r="Y496" s="1399"/>
      <c r="Z496" s="1399"/>
      <c r="AA496" s="1399"/>
      <c r="AB496" s="1399"/>
      <c r="AC496" s="1399"/>
      <c r="AD496" s="1399"/>
      <c r="AE496" s="1399"/>
      <c r="AF496" s="1399"/>
      <c r="AG496" s="1399"/>
      <c r="AH496" s="1399"/>
      <c r="AI496" s="1399"/>
      <c r="AJ496" s="1399"/>
      <c r="AK496" s="1400"/>
      <c r="AZ496" s="3"/>
      <c r="BA496" s="3"/>
      <c r="BB496" s="3"/>
      <c r="BC496" s="3"/>
    </row>
    <row r="497" spans="1:66" ht="12.95" customHeight="1">
      <c r="B497" s="1388" t="s">
        <v>397</v>
      </c>
      <c r="C497" s="1389"/>
      <c r="D497" s="1389"/>
      <c r="E497" s="1389"/>
      <c r="F497" s="1389"/>
      <c r="G497" s="1389"/>
      <c r="H497" s="1389"/>
      <c r="I497" s="1389"/>
      <c r="J497" s="1389"/>
      <c r="K497" s="1389"/>
      <c r="L497" s="1389"/>
      <c r="M497" s="1389"/>
      <c r="N497" s="1389"/>
      <c r="O497" s="1389"/>
      <c r="P497" s="1390"/>
      <c r="Q497" s="1394" t="s">
        <v>669</v>
      </c>
      <c r="R497" s="1395"/>
      <c r="S497" s="1505" t="s">
        <v>166</v>
      </c>
      <c r="T497" s="1506"/>
      <c r="U497" s="1506"/>
      <c r="V497" s="1506"/>
      <c r="W497" s="1506"/>
      <c r="X497" s="1506"/>
      <c r="Y497" s="1506"/>
      <c r="Z497" s="1506"/>
      <c r="AA497" s="1506"/>
      <c r="AB497" s="1506"/>
      <c r="AC497" s="1506"/>
      <c r="AD497" s="1506"/>
      <c r="AE497" s="1506"/>
      <c r="AF497" s="1506"/>
      <c r="AG497" s="1506"/>
      <c r="AH497" s="1506"/>
      <c r="AI497" s="1506"/>
      <c r="AJ497" s="1506"/>
      <c r="AK497" s="1507"/>
      <c r="AZ497" s="3"/>
      <c r="BA497" s="3"/>
      <c r="BB497" s="3"/>
      <c r="BC497" s="3"/>
    </row>
    <row r="498" spans="1:66" ht="12.95" customHeight="1">
      <c r="B498" s="1391"/>
      <c r="C498" s="1392"/>
      <c r="D498" s="1392"/>
      <c r="E498" s="1392"/>
      <c r="F498" s="1392"/>
      <c r="G498" s="1392"/>
      <c r="H498" s="1392"/>
      <c r="I498" s="1392"/>
      <c r="J498" s="1392"/>
      <c r="K498" s="1392"/>
      <c r="L498" s="1392"/>
      <c r="M498" s="1392"/>
      <c r="N498" s="1392"/>
      <c r="O498" s="1392"/>
      <c r="P498" s="1393"/>
      <c r="Q498" s="1396"/>
      <c r="R498" s="1397"/>
      <c r="S498" s="1508"/>
      <c r="T498" s="1450"/>
      <c r="U498" s="1450"/>
      <c r="V498" s="1450"/>
      <c r="W498" s="1450"/>
      <c r="X498" s="1450"/>
      <c r="Y498" s="1450"/>
      <c r="Z498" s="1450"/>
      <c r="AA498" s="1450"/>
      <c r="AB498" s="1450"/>
      <c r="AC498" s="1450"/>
      <c r="AD498" s="1450"/>
      <c r="AE498" s="1450"/>
      <c r="AF498" s="1450"/>
      <c r="AG498" s="1450"/>
      <c r="AH498" s="1450"/>
      <c r="AI498" s="1450"/>
      <c r="AJ498" s="1450"/>
      <c r="AK498" s="1509"/>
      <c r="AZ498" s="3"/>
      <c r="BA498" s="3"/>
      <c r="BB498" s="3"/>
      <c r="BC498" s="3"/>
    </row>
    <row r="499" spans="1:66" ht="12.95" customHeight="1">
      <c r="B499" s="891" t="s">
        <v>1660</v>
      </c>
      <c r="C499" s="869"/>
      <c r="D499" s="869"/>
      <c r="E499" s="869"/>
      <c r="F499" s="869"/>
      <c r="G499" s="869"/>
      <c r="H499" s="869"/>
      <c r="I499" s="869"/>
      <c r="J499" s="869"/>
      <c r="K499" s="869"/>
      <c r="L499" s="869"/>
      <c r="M499" s="869"/>
      <c r="N499" s="869"/>
      <c r="O499" s="869"/>
      <c r="P499" s="869"/>
      <c r="Q499" s="1406" t="s">
        <v>669</v>
      </c>
      <c r="R499" s="1407"/>
      <c r="S499" s="1407"/>
      <c r="T499" s="1407"/>
      <c r="U499" s="1407"/>
      <c r="V499" s="1407"/>
      <c r="W499" s="1407"/>
      <c r="X499" s="1407"/>
      <c r="Y499" s="1407"/>
      <c r="Z499" s="1407"/>
      <c r="AA499" s="1407"/>
      <c r="AB499" s="1407"/>
      <c r="AC499" s="1407"/>
      <c r="AD499" s="1407"/>
      <c r="AE499" s="1407"/>
      <c r="AF499" s="1407"/>
      <c r="AG499" s="1407"/>
      <c r="AH499" s="1407"/>
      <c r="AI499" s="1407"/>
      <c r="AJ499" s="1407"/>
      <c r="AK499" s="1408"/>
      <c r="AZ499" s="3"/>
      <c r="BA499" s="3"/>
      <c r="BB499" s="3"/>
      <c r="BC499" s="3"/>
    </row>
    <row r="500" spans="1:66" ht="12.95" customHeight="1">
      <c r="B500" s="45" t="s">
        <v>398</v>
      </c>
      <c r="C500" s="5"/>
      <c r="D500" s="5"/>
      <c r="E500" s="5"/>
      <c r="F500" s="5"/>
      <c r="G500" s="5"/>
      <c r="H500" s="5"/>
      <c r="I500" s="5"/>
      <c r="J500" s="5"/>
      <c r="K500" s="5"/>
      <c r="L500" s="5"/>
      <c r="M500" s="5"/>
      <c r="N500" s="5"/>
      <c r="O500" s="5"/>
      <c r="P500" s="5"/>
      <c r="Q500" s="1404">
        <v>46</v>
      </c>
      <c r="R500" s="1399"/>
      <c r="S500" s="1399"/>
      <c r="T500" s="1399"/>
      <c r="U500" s="1399"/>
      <c r="V500" s="1399"/>
      <c r="W500" s="1399"/>
      <c r="X500" s="1399"/>
      <c r="Y500" s="1399"/>
      <c r="Z500" s="1399"/>
      <c r="AA500" s="1399"/>
      <c r="AB500" s="1399"/>
      <c r="AC500" s="1399"/>
      <c r="AD500" s="1399"/>
      <c r="AE500" s="1399"/>
      <c r="AF500" s="1399"/>
      <c r="AG500" s="1399"/>
      <c r="AH500" s="1399"/>
      <c r="AI500" s="1399"/>
      <c r="AJ500" s="1399"/>
      <c r="AK500" s="1400"/>
      <c r="AZ500" s="3"/>
      <c r="BA500" s="3"/>
      <c r="BB500" s="3"/>
      <c r="BC500" s="3"/>
    </row>
    <row r="501" spans="1:66" ht="12.95" customHeight="1">
      <c r="B501" s="45" t="s">
        <v>399</v>
      </c>
      <c r="C501" s="5"/>
      <c r="D501" s="5"/>
      <c r="E501" s="5"/>
      <c r="F501" s="5"/>
      <c r="G501" s="5"/>
      <c r="H501" s="5"/>
      <c r="I501" s="5"/>
      <c r="J501" s="5"/>
      <c r="K501" s="5"/>
      <c r="L501" s="5"/>
      <c r="M501" s="5"/>
      <c r="N501" s="5"/>
      <c r="O501" s="5"/>
      <c r="P501" s="5"/>
      <c r="Q501" s="1404">
        <v>0</v>
      </c>
      <c r="R501" s="1399"/>
      <c r="S501" s="1399"/>
      <c r="T501" s="1399"/>
      <c r="U501" s="1399"/>
      <c r="V501" s="1399"/>
      <c r="W501" s="1399"/>
      <c r="X501" s="1399"/>
      <c r="Y501" s="1399"/>
      <c r="Z501" s="1399"/>
      <c r="AA501" s="1399"/>
      <c r="AB501" s="1399"/>
      <c r="AC501" s="1399"/>
      <c r="AD501" s="1399"/>
      <c r="AE501" s="1399"/>
      <c r="AF501" s="1399"/>
      <c r="AG501" s="1399"/>
      <c r="AH501" s="1399"/>
      <c r="AI501" s="1399"/>
      <c r="AJ501" s="1399"/>
      <c r="AK501" s="1400"/>
      <c r="AZ501" s="3"/>
      <c r="BA501" s="3"/>
      <c r="BB501" s="3"/>
      <c r="BC501" s="3"/>
    </row>
    <row r="502" spans="1:66" ht="12.95" customHeight="1">
      <c r="B502" s="121" t="s">
        <v>1657</v>
      </c>
      <c r="C502" s="5"/>
      <c r="D502" s="5"/>
      <c r="E502" s="5"/>
      <c r="F502" s="5"/>
      <c r="G502" s="5"/>
      <c r="H502" s="5"/>
      <c r="I502" s="5"/>
      <c r="J502" s="5"/>
      <c r="K502" s="5"/>
      <c r="L502" s="5"/>
      <c r="M502" s="5"/>
      <c r="N502" s="5"/>
      <c r="O502" s="5"/>
      <c r="P502" s="5"/>
      <c r="Q502" s="1404">
        <v>0</v>
      </c>
      <c r="R502" s="1399"/>
      <c r="S502" s="1399"/>
      <c r="T502" s="1399"/>
      <c r="U502" s="1399"/>
      <c r="V502" s="1399"/>
      <c r="W502" s="1399"/>
      <c r="X502" s="1399"/>
      <c r="Y502" s="1399"/>
      <c r="Z502" s="1399"/>
      <c r="AA502" s="1399"/>
      <c r="AB502" s="1399"/>
      <c r="AC502" s="1399"/>
      <c r="AD502" s="1399"/>
      <c r="AE502" s="1399"/>
      <c r="AF502" s="1399"/>
      <c r="AG502" s="1399"/>
      <c r="AH502" s="1399"/>
      <c r="AI502" s="1399"/>
      <c r="AJ502" s="1399"/>
      <c r="AK502" s="1400"/>
      <c r="AZ502" s="3"/>
      <c r="BA502" s="3"/>
      <c r="BB502" s="3"/>
      <c r="BC502" s="3"/>
    </row>
    <row r="503" spans="1:66" ht="12.95" customHeight="1">
      <c r="B503" s="121" t="s">
        <v>1658</v>
      </c>
      <c r="C503" s="5"/>
      <c r="D503" s="5"/>
      <c r="E503" s="5"/>
      <c r="F503" s="5"/>
      <c r="G503" s="5"/>
      <c r="H503" s="5"/>
      <c r="I503" s="5"/>
      <c r="J503" s="5"/>
      <c r="K503" s="5"/>
      <c r="L503" s="5"/>
      <c r="M503" s="1409">
        <v>53</v>
      </c>
      <c r="N503" s="1410"/>
      <c r="O503" s="1410"/>
      <c r="P503" s="1411"/>
      <c r="Q503" s="121" t="s">
        <v>1659</v>
      </c>
      <c r="R503" s="5"/>
      <c r="S503" s="5"/>
      <c r="T503" s="5"/>
      <c r="U503" s="5"/>
      <c r="V503" s="5"/>
      <c r="W503" s="5"/>
      <c r="X503" s="5"/>
      <c r="Y503" s="5"/>
      <c r="Z503" s="5"/>
      <c r="AA503" s="5"/>
      <c r="AB503" s="5"/>
      <c r="AC503" s="5"/>
      <c r="AD503" s="5"/>
      <c r="AE503" s="5"/>
      <c r="AF503" s="5"/>
      <c r="AG503" s="5"/>
      <c r="AH503" s="1409"/>
      <c r="AI503" s="1410"/>
      <c r="AJ503" s="1410"/>
      <c r="AK503" s="1411"/>
      <c r="AZ503" s="3"/>
      <c r="BA503" s="3"/>
      <c r="BB503" s="3"/>
      <c r="BC503" s="3"/>
    </row>
    <row r="504" spans="1:66" ht="12.95" customHeight="1">
      <c r="B504" s="512"/>
      <c r="Q504" s="8"/>
      <c r="R504" s="8"/>
      <c r="S504" s="8"/>
      <c r="T504" s="8"/>
      <c r="U504" s="8"/>
      <c r="V504" s="8"/>
      <c r="W504" s="8"/>
      <c r="X504" s="8"/>
      <c r="Y504" s="8"/>
      <c r="Z504" s="8"/>
      <c r="AA504" s="8"/>
      <c r="AB504" s="8"/>
      <c r="AC504" s="8"/>
      <c r="AD504" s="8"/>
      <c r="AE504" s="8"/>
      <c r="AF504" s="8"/>
      <c r="AG504" s="8"/>
      <c r="AH504" s="8"/>
      <c r="AI504" s="8"/>
      <c r="AJ504" s="8"/>
      <c r="AK504" s="8"/>
      <c r="AZ504" s="3"/>
      <c r="BA504" s="3"/>
      <c r="BB504" s="3"/>
      <c r="BC504" s="3"/>
    </row>
    <row r="505" spans="1:66" ht="12.95" customHeight="1">
      <c r="A505" s="2" t="s">
        <v>576</v>
      </c>
      <c r="C505" s="2" t="s">
        <v>400</v>
      </c>
      <c r="Q505" s="8"/>
      <c r="R505" s="8"/>
      <c r="S505" s="8"/>
      <c r="T505" s="8"/>
      <c r="U505" s="8"/>
      <c r="V505" s="8"/>
      <c r="W505" s="8"/>
      <c r="X505" s="8"/>
      <c r="Y505" s="8"/>
      <c r="Z505" s="8"/>
      <c r="AA505" s="8"/>
      <c r="AB505" s="8"/>
      <c r="AC505" s="8"/>
      <c r="AD505" s="8"/>
      <c r="AE505" s="8"/>
      <c r="AF505" s="8"/>
      <c r="AG505" s="8"/>
      <c r="AH505" s="8"/>
      <c r="AI505" s="8"/>
      <c r="AJ505" s="8"/>
      <c r="AK505" s="8"/>
      <c r="AZ505" s="3"/>
      <c r="BA505" s="3"/>
      <c r="BB505" s="3"/>
      <c r="BC505" s="3"/>
      <c r="BD505" s="3"/>
      <c r="BE505" s="3"/>
      <c r="BF505" s="3"/>
      <c r="BG505" s="3"/>
      <c r="BH505" s="3"/>
      <c r="BI505" s="3"/>
      <c r="BJ505" s="3"/>
      <c r="BK505" s="3"/>
      <c r="BL505" s="3"/>
      <c r="BM505" s="3"/>
      <c r="BN505" s="3"/>
    </row>
    <row r="506" spans="1:66" ht="12.95" customHeight="1">
      <c r="B506" s="528"/>
      <c r="C506" s="512"/>
      <c r="Q506" s="8"/>
      <c r="R506" s="8"/>
      <c r="S506" s="8"/>
      <c r="T506" s="8"/>
      <c r="U506" s="8"/>
      <c r="V506" s="8"/>
      <c r="W506" s="8"/>
      <c r="X506" s="8"/>
      <c r="Y506" s="8"/>
      <c r="Z506" s="8"/>
      <c r="AA506" s="8"/>
      <c r="AB506" s="8"/>
      <c r="AC506" s="8"/>
      <c r="AD506" s="8"/>
      <c r="AE506" s="8"/>
      <c r="AF506" s="8"/>
      <c r="AG506" s="8"/>
      <c r="AH506" s="8"/>
      <c r="AI506" s="8"/>
      <c r="AJ506" s="8"/>
      <c r="AK506" s="8"/>
      <c r="AZ506" s="3"/>
      <c r="BA506" s="3"/>
      <c r="BB506" s="3"/>
      <c r="BC506" s="3"/>
      <c r="BD506" s="3"/>
      <c r="BE506" s="3"/>
      <c r="BF506" s="3"/>
      <c r="BG506" s="3"/>
      <c r="BH506" s="3"/>
      <c r="BI506" s="3"/>
      <c r="BJ506" s="3"/>
      <c r="BK506" s="3"/>
      <c r="BL506" s="3"/>
      <c r="BM506" s="3"/>
      <c r="BN506" s="3"/>
    </row>
    <row r="507" spans="1:66" ht="12.95" customHeight="1">
      <c r="B507" s="41"/>
      <c r="C507" s="42"/>
      <c r="D507" s="115"/>
      <c r="E507" s="42"/>
      <c r="F507" s="42"/>
      <c r="G507" s="42"/>
      <c r="H507" s="42"/>
      <c r="I507" s="42"/>
      <c r="J507" s="42"/>
      <c r="K507" s="42"/>
      <c r="L507" s="42"/>
      <c r="M507" s="42"/>
      <c r="N507" s="42"/>
      <c r="O507" s="42"/>
      <c r="P507" s="42"/>
      <c r="Q507" s="42"/>
      <c r="R507" s="42"/>
      <c r="S507" s="42"/>
      <c r="T507" s="42"/>
      <c r="U507" s="42"/>
      <c r="V507" s="42"/>
      <c r="W507" s="42"/>
      <c r="X507" s="42"/>
      <c r="Y507" s="42"/>
      <c r="Z507" s="42"/>
      <c r="AA507" s="42"/>
      <c r="AB507" s="58"/>
      <c r="AC507" s="1341" t="s">
        <v>401</v>
      </c>
      <c r="AD507" s="1342"/>
      <c r="AE507" s="1342"/>
      <c r="AF507" s="1342"/>
      <c r="AG507" s="1342"/>
      <c r="AH507" s="1342"/>
      <c r="AI507" s="1342"/>
      <c r="AJ507" s="1342"/>
      <c r="AK507" s="1343"/>
      <c r="AZ507" s="3"/>
      <c r="BA507" s="3"/>
      <c r="BB507" s="3"/>
      <c r="BC507" s="3"/>
      <c r="BD507" s="3"/>
      <c r="BE507" s="3"/>
      <c r="BF507" s="3"/>
      <c r="BG507" s="3"/>
      <c r="BH507" s="3"/>
      <c r="BI507" s="3"/>
      <c r="BJ507" s="3"/>
      <c r="BK507" s="3"/>
      <c r="BL507" s="3"/>
      <c r="BM507" s="3"/>
      <c r="BN507" s="3"/>
    </row>
    <row r="508" spans="1:66" ht="12.95" customHeight="1">
      <c r="B508" s="47"/>
      <c r="C508" s="48"/>
      <c r="D508" s="48"/>
      <c r="E508" s="48"/>
      <c r="F508" s="48"/>
      <c r="G508" s="48"/>
      <c r="H508" s="48"/>
      <c r="I508" s="48"/>
      <c r="J508" s="48"/>
      <c r="K508" s="48"/>
      <c r="L508" s="48"/>
      <c r="M508" s="48"/>
      <c r="N508" s="48"/>
      <c r="O508" s="48"/>
      <c r="P508" s="48"/>
      <c r="Q508" s="48"/>
      <c r="R508" s="48"/>
      <c r="S508" s="48"/>
      <c r="T508" s="48"/>
      <c r="U508" s="48"/>
      <c r="V508" s="48"/>
      <c r="W508" s="48"/>
      <c r="X508" s="48"/>
      <c r="Y508" s="48"/>
      <c r="Z508" s="48"/>
      <c r="AA508" s="48"/>
      <c r="AB508" s="49"/>
      <c r="AC508" s="1341" t="s">
        <v>402</v>
      </c>
      <c r="AD508" s="1342"/>
      <c r="AE508" s="1342"/>
      <c r="AF508" s="1342"/>
      <c r="AG508" s="50" t="s">
        <v>403</v>
      </c>
      <c r="AH508" s="1342" t="s">
        <v>404</v>
      </c>
      <c r="AI508" s="1342"/>
      <c r="AJ508" s="1342"/>
      <c r="AK508" s="1343"/>
      <c r="AZ508" s="3"/>
      <c r="BA508" s="3"/>
      <c r="BB508" s="3"/>
      <c r="BC508" s="3"/>
      <c r="BD508" s="3"/>
      <c r="BE508" s="3"/>
      <c r="BF508" s="3"/>
      <c r="BG508" s="3"/>
      <c r="BH508" s="3"/>
      <c r="BI508" s="3"/>
      <c r="BJ508" s="3"/>
      <c r="BK508" s="3"/>
      <c r="BL508" s="3"/>
      <c r="BM508" s="3"/>
      <c r="BN508" s="3"/>
    </row>
    <row r="509" spans="1:66" ht="12.95" customHeight="1">
      <c r="B509" s="1347" t="s">
        <v>405</v>
      </c>
      <c r="C509" s="1348"/>
      <c r="D509" s="1348"/>
      <c r="E509" s="1348"/>
      <c r="F509" s="1348"/>
      <c r="G509" s="1348"/>
      <c r="H509" s="1349"/>
      <c r="I509" s="42" t="s">
        <v>406</v>
      </c>
      <c r="J509" s="42"/>
      <c r="K509" s="42"/>
      <c r="L509" s="42"/>
      <c r="M509" s="42"/>
      <c r="N509" s="42"/>
      <c r="O509" s="42"/>
      <c r="P509" s="42"/>
      <c r="Q509" s="42"/>
      <c r="R509" s="42"/>
      <c r="S509" s="42"/>
      <c r="T509" s="42"/>
      <c r="U509" s="42"/>
      <c r="V509" s="42"/>
      <c r="W509" s="42"/>
      <c r="AC509" s="1331">
        <v>3</v>
      </c>
      <c r="AD509" s="1289"/>
      <c r="AE509" s="1289"/>
      <c r="AF509" s="1289"/>
      <c r="AG509" s="13" t="s">
        <v>403</v>
      </c>
      <c r="AH509" s="1333">
        <v>2025</v>
      </c>
      <c r="AI509" s="1333"/>
      <c r="AJ509" s="1333"/>
      <c r="AK509" s="1334"/>
      <c r="AZ509" s="3"/>
      <c r="BA509" s="3"/>
      <c r="BB509" s="3"/>
      <c r="BC509" s="3"/>
      <c r="BD509" s="3"/>
      <c r="BE509" s="3"/>
      <c r="BF509" s="3"/>
      <c r="BG509" s="3"/>
      <c r="BH509" s="3"/>
      <c r="BI509" s="3"/>
      <c r="BJ509" s="3"/>
      <c r="BK509" s="3"/>
      <c r="BL509" s="3"/>
      <c r="BM509" s="3"/>
      <c r="BN509" s="3"/>
    </row>
    <row r="510" spans="1:66" ht="12.95" customHeight="1">
      <c r="B510" s="1350"/>
      <c r="C510" s="1351"/>
      <c r="D510" s="1351"/>
      <c r="E510" s="1351"/>
      <c r="F510" s="1351"/>
      <c r="G510" s="1351"/>
      <c r="H510" s="1352"/>
      <c r="I510" s="48" t="s">
        <v>407</v>
      </c>
      <c r="J510" s="48"/>
      <c r="K510" s="48"/>
      <c r="L510" s="48"/>
      <c r="M510" s="48"/>
      <c r="N510" s="48"/>
      <c r="O510" s="48"/>
      <c r="P510" s="48"/>
      <c r="Q510" s="48"/>
      <c r="R510" s="48"/>
      <c r="S510" s="48"/>
      <c r="T510" s="48"/>
      <c r="U510" s="48"/>
      <c r="V510" s="48"/>
      <c r="W510" s="48"/>
      <c r="X510" s="48"/>
      <c r="Y510" s="48"/>
      <c r="Z510" s="48"/>
      <c r="AA510" s="48"/>
      <c r="AB510" s="48"/>
      <c r="AC510" s="1331">
        <v>8</v>
      </c>
      <c r="AD510" s="1289"/>
      <c r="AE510" s="1289"/>
      <c r="AF510" s="1289"/>
      <c r="AG510" s="38" t="s">
        <v>403</v>
      </c>
      <c r="AH510" s="1333">
        <v>2025</v>
      </c>
      <c r="AI510" s="1333"/>
      <c r="AJ510" s="1333"/>
      <c r="AK510" s="1334"/>
      <c r="AZ510" s="3"/>
      <c r="BA510" s="3"/>
      <c r="BB510" s="3"/>
      <c r="BC510" s="3"/>
      <c r="BD510" s="3"/>
      <c r="BE510" s="3"/>
      <c r="BF510" s="3"/>
      <c r="BG510" s="3"/>
      <c r="BH510" s="3"/>
      <c r="BI510" s="3"/>
      <c r="BJ510" s="3"/>
      <c r="BK510" s="3"/>
      <c r="BL510" s="3"/>
      <c r="BM510" s="3"/>
      <c r="BN510" s="3"/>
    </row>
    <row r="511" spans="1:66" ht="12.95" customHeight="1">
      <c r="B511" s="1347" t="s">
        <v>408</v>
      </c>
      <c r="C511" s="1348"/>
      <c r="D511" s="1348"/>
      <c r="E511" s="1348"/>
      <c r="F511" s="1348"/>
      <c r="G511" s="1348"/>
      <c r="H511" s="1349"/>
      <c r="I511" s="42" t="s">
        <v>409</v>
      </c>
      <c r="J511" s="42"/>
      <c r="K511" s="42"/>
      <c r="L511" s="42"/>
      <c r="M511" s="42"/>
      <c r="N511" s="42"/>
      <c r="O511" s="42"/>
      <c r="P511" s="42"/>
      <c r="Q511" s="42"/>
      <c r="R511" s="42"/>
      <c r="S511" s="42"/>
      <c r="T511" s="42"/>
      <c r="U511" s="42"/>
      <c r="V511" s="42"/>
      <c r="W511" s="42"/>
      <c r="AC511" s="1331" t="s">
        <v>591</v>
      </c>
      <c r="AD511" s="1289"/>
      <c r="AE511" s="1289"/>
      <c r="AF511" s="1289"/>
      <c r="AG511" s="13" t="s">
        <v>403</v>
      </c>
      <c r="AH511" s="1333"/>
      <c r="AI511" s="1333"/>
      <c r="AJ511" s="1333"/>
      <c r="AK511" s="1334"/>
      <c r="AZ511" s="3"/>
      <c r="BA511" s="3"/>
      <c r="BB511" s="3"/>
      <c r="BC511" s="3"/>
      <c r="BD511" s="3"/>
      <c r="BE511" s="3"/>
      <c r="BF511" s="3"/>
      <c r="BG511" s="3"/>
      <c r="BH511" s="3"/>
      <c r="BI511" s="3"/>
      <c r="BJ511" s="3"/>
      <c r="BK511" s="3"/>
      <c r="BL511" s="3"/>
      <c r="BM511" s="3"/>
      <c r="BN511" s="3"/>
    </row>
    <row r="512" spans="1:66" ht="12.95" customHeight="1">
      <c r="B512" s="1350"/>
      <c r="C512" s="1351"/>
      <c r="D512" s="1351"/>
      <c r="E512" s="1351"/>
      <c r="F512" s="1351"/>
      <c r="G512" s="1351"/>
      <c r="H512" s="1352"/>
      <c r="I512" t="s">
        <v>410</v>
      </c>
      <c r="AC512" s="1331" t="s">
        <v>591</v>
      </c>
      <c r="AD512" s="1289"/>
      <c r="AE512" s="1289"/>
      <c r="AF512" s="1289"/>
      <c r="AG512" s="13" t="s">
        <v>403</v>
      </c>
      <c r="AH512" s="1333"/>
      <c r="AI512" s="1333"/>
      <c r="AJ512" s="1333"/>
      <c r="AK512" s="1334"/>
      <c r="AZ512" s="3"/>
      <c r="BA512" s="3"/>
      <c r="BB512" s="3"/>
      <c r="BC512" s="3"/>
      <c r="BD512" s="3"/>
      <c r="BE512" s="3"/>
      <c r="BF512" s="3"/>
      <c r="BG512" s="3"/>
      <c r="BH512" s="3"/>
      <c r="BI512" s="3"/>
      <c r="BJ512" s="3"/>
      <c r="BK512" s="3"/>
      <c r="BL512" s="3"/>
      <c r="BM512" s="3"/>
      <c r="BN512" s="3"/>
    </row>
    <row r="513" spans="2:66" ht="12.95" customHeight="1">
      <c r="B513" s="1350"/>
      <c r="C513" s="1351"/>
      <c r="D513" s="1351"/>
      <c r="E513" s="1351"/>
      <c r="F513" s="1351"/>
      <c r="G513" s="1351"/>
      <c r="H513" s="1352"/>
      <c r="I513" t="s">
        <v>411</v>
      </c>
      <c r="AC513" s="1331" t="s">
        <v>591</v>
      </c>
      <c r="AD513" s="1289"/>
      <c r="AE513" s="1289"/>
      <c r="AF513" s="1289"/>
      <c r="AG513" s="13" t="s">
        <v>403</v>
      </c>
      <c r="AH513" s="1333"/>
      <c r="AI513" s="1333"/>
      <c r="AJ513" s="1333"/>
      <c r="AK513" s="1334"/>
      <c r="AZ513" s="3"/>
      <c r="BA513" s="3"/>
      <c r="BB513" s="3"/>
      <c r="BC513" s="3"/>
      <c r="BD513" s="3"/>
      <c r="BE513" s="3"/>
      <c r="BF513" s="3"/>
      <c r="BG513" s="3"/>
      <c r="BH513" s="3"/>
      <c r="BI513" s="3"/>
      <c r="BJ513" s="3"/>
      <c r="BK513" s="3"/>
      <c r="BL513" s="3"/>
      <c r="BM513" s="3"/>
      <c r="BN513" s="3"/>
    </row>
    <row r="514" spans="2:66" ht="12.95" customHeight="1">
      <c r="B514" s="1350"/>
      <c r="C514" s="1351"/>
      <c r="D514" s="1351"/>
      <c r="E514" s="1351"/>
      <c r="F514" s="1351"/>
      <c r="G514" s="1351"/>
      <c r="H514" s="1352"/>
      <c r="I514" t="s">
        <v>412</v>
      </c>
      <c r="AC514" s="1331">
        <v>2</v>
      </c>
      <c r="AD514" s="1289"/>
      <c r="AE514" s="1289"/>
      <c r="AF514" s="1289"/>
      <c r="AG514" s="13" t="s">
        <v>403</v>
      </c>
      <c r="AH514" s="1333">
        <v>2027</v>
      </c>
      <c r="AI514" s="1333"/>
      <c r="AJ514" s="1333"/>
      <c r="AK514" s="1334"/>
      <c r="AZ514" s="3"/>
      <c r="BA514" s="3"/>
      <c r="BB514" s="3"/>
      <c r="BC514" s="3"/>
      <c r="BD514" s="3"/>
      <c r="BE514" s="3"/>
      <c r="BF514" s="3"/>
      <c r="BG514" s="3"/>
      <c r="BH514" s="3"/>
      <c r="BI514" s="3"/>
      <c r="BJ514" s="3"/>
      <c r="BK514" s="3"/>
      <c r="BL514" s="3"/>
      <c r="BM514" s="3"/>
      <c r="BN514" s="3"/>
    </row>
    <row r="515" spans="2:66" ht="12.95" customHeight="1">
      <c r="B515" s="1350"/>
      <c r="C515" s="1351"/>
      <c r="D515" s="1351"/>
      <c r="E515" s="1351"/>
      <c r="F515" s="1351"/>
      <c r="G515" s="1351"/>
      <c r="H515" s="1352"/>
      <c r="I515" s="3" t="s">
        <v>413</v>
      </c>
      <c r="AC515" s="1290">
        <v>2</v>
      </c>
      <c r="AD515" s="1291"/>
      <c r="AE515" s="1291"/>
      <c r="AF515" s="1291"/>
      <c r="AG515" s="13" t="s">
        <v>403</v>
      </c>
      <c r="AH515" s="1333">
        <v>2027</v>
      </c>
      <c r="AI515" s="1333"/>
      <c r="AJ515" s="1333"/>
      <c r="AK515" s="1334"/>
      <c r="AZ515" s="3"/>
      <c r="BA515" s="3"/>
      <c r="BB515" s="3"/>
      <c r="BC515" s="3"/>
      <c r="BD515" s="3"/>
      <c r="BE515" s="3"/>
      <c r="BF515" s="3"/>
      <c r="BG515" s="3"/>
      <c r="BH515" s="3"/>
      <c r="BI515" s="3"/>
      <c r="BJ515" s="3"/>
      <c r="BK515" s="3"/>
      <c r="BL515" s="3"/>
      <c r="BM515" s="3"/>
      <c r="BN515" s="3"/>
    </row>
    <row r="516" spans="2:66" ht="12.95" customHeight="1">
      <c r="B516" s="1350"/>
      <c r="C516" s="1351"/>
      <c r="D516" s="1351"/>
      <c r="E516" s="1351"/>
      <c r="F516" s="1351"/>
      <c r="G516" s="1351"/>
      <c r="H516" s="1352"/>
      <c r="I516" s="892" t="s">
        <v>170</v>
      </c>
      <c r="J516" s="48"/>
      <c r="K516" s="48"/>
      <c r="L516" s="1401" t="s">
        <v>334</v>
      </c>
      <c r="M516" s="1402"/>
      <c r="N516" s="1402"/>
      <c r="O516" s="1402"/>
      <c r="P516" s="1402"/>
      <c r="Q516" s="1402"/>
      <c r="R516" s="1402"/>
      <c r="S516" s="1402"/>
      <c r="T516" s="1402"/>
      <c r="U516" s="1402"/>
      <c r="V516" s="1402"/>
      <c r="W516" s="1402"/>
      <c r="X516" s="1402"/>
      <c r="Y516" s="1402"/>
      <c r="Z516" s="1402"/>
      <c r="AA516" s="1402"/>
      <c r="AB516" s="1403"/>
      <c r="AC516" s="1331" t="s">
        <v>591</v>
      </c>
      <c r="AD516" s="1289"/>
      <c r="AE516" s="1289"/>
      <c r="AF516" s="1289"/>
      <c r="AG516" s="38" t="s">
        <v>403</v>
      </c>
      <c r="AH516" s="1333"/>
      <c r="AI516" s="1333"/>
      <c r="AJ516" s="1333"/>
      <c r="AK516" s="1334"/>
      <c r="AZ516" s="3"/>
      <c r="BA516" s="3"/>
      <c r="BB516" s="3"/>
      <c r="BC516" s="3"/>
      <c r="BD516" s="3"/>
      <c r="BE516" s="3"/>
      <c r="BF516" s="3"/>
      <c r="BG516" s="3"/>
      <c r="BH516" s="3"/>
      <c r="BI516" s="3"/>
      <c r="BJ516" s="3"/>
      <c r="BK516" s="3"/>
      <c r="BL516" s="3"/>
      <c r="BM516" s="3"/>
      <c r="BN516" s="3"/>
    </row>
    <row r="517" spans="2:66" ht="12.95" customHeight="1">
      <c r="B517" s="867"/>
      <c r="C517" s="130"/>
      <c r="D517" s="130"/>
      <c r="E517" s="130"/>
      <c r="F517" s="130"/>
      <c r="G517" s="130"/>
      <c r="H517" s="868"/>
      <c r="I517" s="3" t="s">
        <v>1664</v>
      </c>
      <c r="AC517" s="1412" t="s">
        <v>669</v>
      </c>
      <c r="AD517" s="1412"/>
      <c r="AE517" s="1412"/>
      <c r="AF517" s="1412"/>
      <c r="AG517" s="13"/>
      <c r="AH517" s="1356"/>
      <c r="AI517" s="1356"/>
      <c r="AJ517" s="1356"/>
      <c r="AK517" s="1357"/>
      <c r="AZ517" s="3"/>
      <c r="BA517" s="3"/>
      <c r="BB517" s="3"/>
      <c r="BC517" s="3"/>
      <c r="BD517" s="3"/>
      <c r="BE517" s="3"/>
      <c r="BF517" s="3"/>
      <c r="BG517" s="3"/>
      <c r="BH517" s="3"/>
      <c r="BI517" s="3"/>
      <c r="BJ517" s="3"/>
      <c r="BK517" s="3"/>
      <c r="BL517" s="3"/>
      <c r="BM517" s="3"/>
      <c r="BN517" s="3"/>
    </row>
    <row r="518" spans="2:66" ht="12.95" customHeight="1">
      <c r="B518" s="867"/>
      <c r="C518" s="130"/>
      <c r="D518" s="130"/>
      <c r="E518" s="130"/>
      <c r="F518" s="130"/>
      <c r="G518" s="130"/>
      <c r="H518" s="868"/>
      <c r="I518" t="s">
        <v>1661</v>
      </c>
      <c r="AC518" s="1290"/>
      <c r="AD518" s="1291"/>
      <c r="AE518" s="1291"/>
      <c r="AF518" s="1292"/>
      <c r="AG518" s="13"/>
      <c r="AH518" s="1356"/>
      <c r="AI518" s="1356"/>
      <c r="AJ518" s="1356"/>
      <c r="AK518" s="1357"/>
      <c r="AZ518" s="3"/>
      <c r="BA518" s="3"/>
      <c r="BB518" s="3"/>
      <c r="BC518" s="3"/>
      <c r="BD518" s="3"/>
      <c r="BE518" s="3"/>
      <c r="BF518" s="3"/>
      <c r="BG518" s="3"/>
      <c r="BH518" s="3"/>
      <c r="BI518" s="3"/>
      <c r="BJ518" s="3"/>
      <c r="BK518" s="3"/>
      <c r="BL518" s="3"/>
      <c r="BM518" s="3"/>
      <c r="BN518" s="3"/>
    </row>
    <row r="519" spans="2:66" ht="12.95" customHeight="1">
      <c r="B519" s="867"/>
      <c r="C519" s="130"/>
      <c r="D519" s="130"/>
      <c r="E519" s="130"/>
      <c r="F519" s="130"/>
      <c r="G519" s="130"/>
      <c r="H519" s="868"/>
      <c r="I519" t="s">
        <v>1662</v>
      </c>
      <c r="AC519" s="886"/>
      <c r="AD519" s="887"/>
      <c r="AE519" s="887"/>
      <c r="AF519" s="888"/>
      <c r="AG519" s="13"/>
      <c r="AH519" s="1"/>
      <c r="AI519" s="1"/>
      <c r="AJ519" s="1"/>
      <c r="AK519" s="1001"/>
      <c r="AZ519" s="3"/>
      <c r="BA519" s="3"/>
      <c r="BB519" s="3"/>
      <c r="BC519" s="3"/>
      <c r="BD519" s="3"/>
      <c r="BE519" s="3"/>
      <c r="BF519" s="3"/>
      <c r="BG519" s="3"/>
      <c r="BH519" s="3"/>
      <c r="BI519" s="3"/>
      <c r="BJ519" s="3"/>
      <c r="BK519" s="3"/>
      <c r="BL519" s="3"/>
      <c r="BM519" s="3"/>
      <c r="BN519" s="3"/>
    </row>
    <row r="520" spans="2:66" ht="12.95" customHeight="1">
      <c r="B520" s="867"/>
      <c r="C520" s="130"/>
      <c r="D520" s="130"/>
      <c r="E520" s="130"/>
      <c r="F520" s="130"/>
      <c r="G520" s="130"/>
      <c r="H520" s="868"/>
      <c r="I520" s="893" t="s">
        <v>1663</v>
      </c>
      <c r="J520" s="48"/>
      <c r="K520" s="48"/>
      <c r="L520" s="48"/>
      <c r="M520" s="48"/>
      <c r="N520" s="48"/>
      <c r="O520" s="48"/>
      <c r="P520" s="48"/>
      <c r="Q520" s="48"/>
      <c r="R520" s="48"/>
      <c r="S520" s="48"/>
      <c r="T520" s="48"/>
      <c r="U520" s="48"/>
      <c r="V520" s="48"/>
      <c r="W520" s="48"/>
      <c r="X520" s="48"/>
      <c r="Y520" s="48"/>
      <c r="Z520" s="48"/>
      <c r="AA520" s="48"/>
      <c r="AB520" s="48"/>
      <c r="AC520" s="1385">
        <v>0.5</v>
      </c>
      <c r="AD520" s="1386"/>
      <c r="AE520" s="1386"/>
      <c r="AF520" s="1387"/>
      <c r="AG520" s="38"/>
      <c r="AH520" s="1510"/>
      <c r="AI520" s="1510"/>
      <c r="AJ520" s="1510"/>
      <c r="AK520" s="1511"/>
      <c r="AZ520" s="3"/>
      <c r="BA520" s="3"/>
      <c r="BB520" s="3"/>
      <c r="BC520" s="3"/>
      <c r="BD520" s="3"/>
      <c r="BE520" s="3"/>
      <c r="BF520" s="3"/>
      <c r="BG520" s="3"/>
      <c r="BH520" s="3"/>
      <c r="BI520" s="3"/>
      <c r="BJ520" s="3"/>
      <c r="BK520" s="3"/>
      <c r="BL520" s="3"/>
      <c r="BM520" s="3"/>
      <c r="BN520" s="3" t="s">
        <v>1184</v>
      </c>
    </row>
    <row r="521" spans="2:66" ht="12.95" customHeight="1">
      <c r="B521" s="867"/>
      <c r="C521" s="130"/>
      <c r="D521" s="130"/>
      <c r="E521" s="130"/>
      <c r="F521" s="130"/>
      <c r="G521" s="130"/>
      <c r="H521" s="868"/>
      <c r="I521" s="3"/>
      <c r="L521" s="8"/>
      <c r="M521" s="8"/>
      <c r="N521" s="8"/>
      <c r="O521" s="8"/>
      <c r="P521" s="8"/>
      <c r="Q521" s="8"/>
      <c r="R521" s="8"/>
      <c r="S521" s="8"/>
      <c r="T521" s="8"/>
      <c r="U521" s="8"/>
      <c r="V521" s="8"/>
      <c r="W521" s="8"/>
      <c r="X521" s="1002"/>
      <c r="Y521" s="1002"/>
      <c r="Z521" s="1002"/>
      <c r="AA521" s="1002"/>
      <c r="AB521" s="1009"/>
      <c r="AC521" s="1498" t="s">
        <v>402</v>
      </c>
      <c r="AD521" s="1367"/>
      <c r="AE521" s="1367"/>
      <c r="AF521" s="1367"/>
      <c r="AG521" s="38" t="s">
        <v>403</v>
      </c>
      <c r="AH521" s="1367" t="s">
        <v>404</v>
      </c>
      <c r="AI521" s="1367"/>
      <c r="AJ521" s="1367"/>
      <c r="AK521" s="1368"/>
      <c r="AZ521" s="3"/>
      <c r="BA521" s="3"/>
      <c r="BB521" s="3"/>
      <c r="BC521" s="3"/>
      <c r="BD521" s="3"/>
      <c r="BE521" s="3"/>
      <c r="BF521" s="3"/>
      <c r="BG521" s="3"/>
      <c r="BH521" s="3"/>
      <c r="BI521" s="3"/>
      <c r="BJ521" s="3"/>
      <c r="BK521" s="3"/>
      <c r="BL521" s="3"/>
      <c r="BM521" s="3"/>
      <c r="BN521" s="3" t="s">
        <v>2059</v>
      </c>
    </row>
    <row r="522" spans="2:66" ht="12.95" customHeight="1">
      <c r="B522" s="1347" t="s">
        <v>414</v>
      </c>
      <c r="C522" s="1348"/>
      <c r="D522" s="1348"/>
      <c r="E522" s="1348"/>
      <c r="F522" s="1348"/>
      <c r="G522" s="1348"/>
      <c r="H522" s="1349"/>
      <c r="I522" s="42" t="s">
        <v>415</v>
      </c>
      <c r="J522" s="42"/>
      <c r="K522" s="42"/>
      <c r="L522" s="42"/>
      <c r="M522" s="42"/>
      <c r="N522" s="42"/>
      <c r="O522" s="42"/>
      <c r="P522" s="42"/>
      <c r="Q522" s="42"/>
      <c r="R522" s="42"/>
      <c r="S522" s="42"/>
      <c r="T522" s="42"/>
      <c r="U522" s="42"/>
      <c r="V522" s="42"/>
      <c r="W522" s="42"/>
      <c r="AC522" s="1331">
        <v>5</v>
      </c>
      <c r="AD522" s="1289"/>
      <c r="AE522" s="1289"/>
      <c r="AF522" s="1289"/>
      <c r="AG522" s="13" t="s">
        <v>403</v>
      </c>
      <c r="AH522" s="1333">
        <v>2026</v>
      </c>
      <c r="AI522" s="1333"/>
      <c r="AJ522" s="1333"/>
      <c r="AK522" s="1334"/>
      <c r="AZ522" s="3"/>
      <c r="BA522" s="3"/>
      <c r="BB522" s="3"/>
      <c r="BC522" s="3"/>
      <c r="BD522" s="3"/>
      <c r="BE522" s="3"/>
      <c r="BF522" s="3"/>
      <c r="BG522" s="3"/>
      <c r="BH522" s="3"/>
      <c r="BI522" s="3"/>
      <c r="BJ522" s="3"/>
      <c r="BK522" s="3"/>
      <c r="BL522" s="3"/>
      <c r="BM522" s="3"/>
      <c r="BN522" s="3" t="s">
        <v>2060</v>
      </c>
    </row>
    <row r="523" spans="2:66" ht="12.95" customHeight="1">
      <c r="B523" s="1350"/>
      <c r="C523" s="1351"/>
      <c r="D523" s="1351"/>
      <c r="E523" s="1351"/>
      <c r="F523" s="1351"/>
      <c r="G523" s="1351"/>
      <c r="H523" s="1352"/>
      <c r="I523" t="s">
        <v>416</v>
      </c>
      <c r="AC523" s="1331">
        <v>5</v>
      </c>
      <c r="AD523" s="1289"/>
      <c r="AE523" s="1289"/>
      <c r="AF523" s="1289"/>
      <c r="AG523" s="13" t="s">
        <v>403</v>
      </c>
      <c r="AH523" s="1333">
        <v>2026</v>
      </c>
      <c r="AI523" s="1333"/>
      <c r="AJ523" s="1333"/>
      <c r="AK523" s="1334"/>
      <c r="AZ523" s="3"/>
      <c r="BA523" s="3"/>
      <c r="BB523" s="3"/>
      <c r="BC523" s="3"/>
      <c r="BD523" s="3"/>
      <c r="BE523" s="3"/>
      <c r="BF523" s="3"/>
      <c r="BG523" s="3"/>
      <c r="BH523" s="3"/>
      <c r="BI523" s="3"/>
      <c r="BJ523" s="3"/>
      <c r="BK523" s="3"/>
      <c r="BL523" s="3"/>
      <c r="BM523" s="3"/>
      <c r="BN523" s="3" t="s">
        <v>2061</v>
      </c>
    </row>
    <row r="524" spans="2:66" ht="12.95" customHeight="1">
      <c r="B524" s="1350"/>
      <c r="C524" s="1351"/>
      <c r="D524" s="1351"/>
      <c r="E524" s="1351"/>
      <c r="F524" s="1351"/>
      <c r="G524" s="1351"/>
      <c r="H524" s="1352"/>
      <c r="I524" s="48" t="s">
        <v>417</v>
      </c>
      <c r="J524" s="48"/>
      <c r="K524" s="48"/>
      <c r="L524" s="48"/>
      <c r="M524" s="48"/>
      <c r="N524" s="48"/>
      <c r="O524" s="48"/>
      <c r="P524" s="48"/>
      <c r="Q524" s="48"/>
      <c r="R524" s="48"/>
      <c r="S524" s="48"/>
      <c r="T524" s="48"/>
      <c r="U524" s="48"/>
      <c r="V524" s="48"/>
      <c r="W524" s="48"/>
      <c r="X524" s="48"/>
      <c r="Y524" s="48"/>
      <c r="Z524" s="48"/>
      <c r="AA524" s="48"/>
      <c r="AB524" s="48"/>
      <c r="AC524" s="1331">
        <v>2</v>
      </c>
      <c r="AD524" s="1289"/>
      <c r="AE524" s="1289"/>
      <c r="AF524" s="1289"/>
      <c r="AG524" s="38" t="s">
        <v>403</v>
      </c>
      <c r="AH524" s="1333">
        <v>2027</v>
      </c>
      <c r="AI524" s="1333"/>
      <c r="AJ524" s="1333"/>
      <c r="AK524" s="1334"/>
      <c r="AZ524" s="3"/>
      <c r="BA524" s="3"/>
      <c r="BB524" s="3"/>
      <c r="BC524" s="3"/>
      <c r="BD524" s="3"/>
      <c r="BE524" s="3"/>
      <c r="BF524" s="3"/>
      <c r="BG524" s="3"/>
      <c r="BH524" s="3"/>
      <c r="BI524" s="3"/>
      <c r="BJ524" s="3"/>
      <c r="BK524" s="3"/>
      <c r="BL524" s="3"/>
      <c r="BM524" s="3"/>
      <c r="BN524" s="3" t="s">
        <v>2062</v>
      </c>
    </row>
    <row r="525" spans="2:66" ht="12.95" customHeight="1">
      <c r="B525" s="1347" t="s">
        <v>418</v>
      </c>
      <c r="C525" s="1348"/>
      <c r="D525" s="1348"/>
      <c r="E525" s="1348"/>
      <c r="F525" s="1348"/>
      <c r="G525" s="1348"/>
      <c r="H525" s="1349"/>
      <c r="I525" s="42" t="s">
        <v>415</v>
      </c>
      <c r="J525" s="42"/>
      <c r="K525" s="42"/>
      <c r="L525" s="42"/>
      <c r="M525" s="42"/>
      <c r="N525" s="42"/>
      <c r="O525" s="42"/>
      <c r="P525" s="42"/>
      <c r="Q525" s="42"/>
      <c r="R525" s="42"/>
      <c r="S525" s="42"/>
      <c r="T525" s="42"/>
      <c r="U525" s="42"/>
      <c r="V525" s="42"/>
      <c r="W525" s="42"/>
      <c r="X525" s="42"/>
      <c r="Y525" s="42"/>
      <c r="Z525" s="42"/>
      <c r="AA525" s="42"/>
      <c r="AB525" s="42"/>
      <c r="AC525" s="1290">
        <v>5</v>
      </c>
      <c r="AD525" s="1291"/>
      <c r="AE525" s="1291"/>
      <c r="AF525" s="1291"/>
      <c r="AG525" s="129" t="s">
        <v>403</v>
      </c>
      <c r="AH525" s="1333">
        <v>2026</v>
      </c>
      <c r="AI525" s="1333"/>
      <c r="AJ525" s="1333"/>
      <c r="AK525" s="1334"/>
      <c r="AZ525" s="3"/>
      <c r="BB525" s="3"/>
      <c r="BC525" s="3"/>
      <c r="BD525" s="3"/>
      <c r="BE525" s="3"/>
      <c r="BF525" s="3"/>
      <c r="BG525" s="3"/>
      <c r="BH525" s="3"/>
      <c r="BI525" s="3"/>
      <c r="BJ525" s="3"/>
      <c r="BK525" s="3"/>
      <c r="BL525" s="3"/>
      <c r="BM525" s="3"/>
      <c r="BN525" s="3" t="s">
        <v>2063</v>
      </c>
    </row>
    <row r="526" spans="2:66" ht="12.95" customHeight="1">
      <c r="B526" s="1350"/>
      <c r="C526" s="1351"/>
      <c r="D526" s="1351"/>
      <c r="E526" s="1351"/>
      <c r="F526" s="1351"/>
      <c r="G526" s="1351"/>
      <c r="H526" s="1352"/>
      <c r="I526" t="s">
        <v>416</v>
      </c>
      <c r="AC526" s="1331">
        <v>5</v>
      </c>
      <c r="AD526" s="1289"/>
      <c r="AE526" s="1289"/>
      <c r="AF526" s="1289"/>
      <c r="AG526" s="13" t="s">
        <v>403</v>
      </c>
      <c r="AH526" s="1333">
        <v>2026</v>
      </c>
      <c r="AI526" s="1333"/>
      <c r="AJ526" s="1333"/>
      <c r="AK526" s="1334"/>
      <c r="BB526" s="3"/>
      <c r="BC526" s="3"/>
      <c r="BD526" s="3"/>
      <c r="BE526" s="3"/>
      <c r="BF526" s="3"/>
      <c r="BG526" s="3"/>
      <c r="BH526" s="3"/>
      <c r="BI526" s="3"/>
      <c r="BJ526" s="3"/>
      <c r="BK526" s="3"/>
      <c r="BL526" s="3"/>
      <c r="BM526" s="3"/>
      <c r="BN526" s="3" t="s">
        <v>2064</v>
      </c>
    </row>
    <row r="527" spans="2:66" ht="12.95" customHeight="1">
      <c r="B527" s="1353"/>
      <c r="C527" s="1354"/>
      <c r="D527" s="1354"/>
      <c r="E527" s="1354"/>
      <c r="F527" s="1354"/>
      <c r="G527" s="1354"/>
      <c r="H527" s="1355"/>
      <c r="I527" s="48" t="s">
        <v>417</v>
      </c>
      <c r="J527" s="48"/>
      <c r="K527" s="48"/>
      <c r="L527" s="48"/>
      <c r="M527" s="48"/>
      <c r="N527" s="48"/>
      <c r="O527" s="48"/>
      <c r="P527" s="48"/>
      <c r="Q527" s="48"/>
      <c r="R527" s="48"/>
      <c r="S527" s="48"/>
      <c r="T527" s="48"/>
      <c r="U527" s="48"/>
      <c r="V527" s="48"/>
      <c r="W527" s="48"/>
      <c r="X527" s="48"/>
      <c r="Y527" s="48"/>
      <c r="Z527" s="48"/>
      <c r="AA527" s="48"/>
      <c r="AB527" s="48"/>
      <c r="AC527" s="1331">
        <v>2</v>
      </c>
      <c r="AD527" s="1289"/>
      <c r="AE527" s="1289"/>
      <c r="AF527" s="1289"/>
      <c r="AG527" s="38" t="s">
        <v>403</v>
      </c>
      <c r="AH527" s="1333">
        <v>2027</v>
      </c>
      <c r="AI527" s="1333"/>
      <c r="AJ527" s="1333"/>
      <c r="AK527" s="1334"/>
      <c r="BB527" s="3"/>
      <c r="BC527" s="3"/>
      <c r="BD527" s="3"/>
      <c r="BE527" s="3"/>
      <c r="BF527" s="3"/>
      <c r="BG527" s="3"/>
      <c r="BH527" s="3"/>
      <c r="BI527" s="3"/>
      <c r="BJ527" s="3"/>
      <c r="BK527" s="3"/>
      <c r="BL527" s="3"/>
      <c r="BM527" s="3"/>
      <c r="BN527" s="3" t="s">
        <v>2065</v>
      </c>
    </row>
    <row r="528" spans="2:66" ht="12.95" customHeight="1">
      <c r="B528" s="1347" t="s">
        <v>419</v>
      </c>
      <c r="C528" s="1348"/>
      <c r="D528" s="1348"/>
      <c r="E528" s="1348"/>
      <c r="F528" s="1348"/>
      <c r="G528" s="1348"/>
      <c r="H528" s="1349"/>
      <c r="I528" s="41" t="s">
        <v>420</v>
      </c>
      <c r="J528" s="42"/>
      <c r="K528" s="42"/>
      <c r="L528" s="42"/>
      <c r="M528" s="42"/>
      <c r="N528" s="42"/>
      <c r="O528" s="1401" t="s">
        <v>334</v>
      </c>
      <c r="P528" s="1402"/>
      <c r="Q528" s="1402"/>
      <c r="R528" s="1402"/>
      <c r="S528" s="1402"/>
      <c r="T528" s="1402"/>
      <c r="U528" s="1402"/>
      <c r="V528" s="1402"/>
      <c r="W528" s="1402"/>
      <c r="X528" s="1402"/>
      <c r="Y528" s="1402"/>
      <c r="Z528" s="1402"/>
      <c r="AA528" s="1402"/>
      <c r="AB528" s="58"/>
      <c r="AC528" s="1290" t="s">
        <v>591</v>
      </c>
      <c r="AD528" s="1291"/>
      <c r="AE528" s="1291"/>
      <c r="AF528" s="1291"/>
      <c r="AG528" s="129" t="s">
        <v>403</v>
      </c>
      <c r="AH528" s="1333"/>
      <c r="AI528" s="1333"/>
      <c r="AJ528" s="1333"/>
      <c r="AK528" s="1334"/>
      <c r="AZ528" s="3"/>
      <c r="BB528" s="3"/>
      <c r="BC528" s="3"/>
      <c r="BD528" s="3"/>
      <c r="BE528" s="3"/>
      <c r="BF528" s="3"/>
      <c r="BG528" s="3"/>
      <c r="BH528" s="3"/>
      <c r="BI528" s="3"/>
      <c r="BJ528" s="3"/>
      <c r="BK528" s="3"/>
      <c r="BL528" s="3"/>
      <c r="BM528" s="3"/>
      <c r="BN528" s="3" t="s">
        <v>2066</v>
      </c>
    </row>
    <row r="529" spans="2:66" ht="12.95" customHeight="1">
      <c r="B529" s="1350"/>
      <c r="C529" s="1351"/>
      <c r="D529" s="1351"/>
      <c r="E529" s="1351"/>
      <c r="F529" s="1351"/>
      <c r="G529" s="1351"/>
      <c r="H529" s="1352"/>
      <c r="I529" s="114" t="s">
        <v>421</v>
      </c>
      <c r="AB529" s="65"/>
      <c r="AC529" s="1331" t="s">
        <v>591</v>
      </c>
      <c r="AD529" s="1289"/>
      <c r="AE529" s="1289"/>
      <c r="AF529" s="1289"/>
      <c r="AG529" s="13" t="s">
        <v>403</v>
      </c>
      <c r="AH529" s="1333"/>
      <c r="AI529" s="1333"/>
      <c r="AJ529" s="1333"/>
      <c r="AK529" s="1334"/>
      <c r="AZ529" s="3"/>
      <c r="BB529" s="3"/>
      <c r="BC529" s="3"/>
      <c r="BD529" s="3"/>
      <c r="BE529" s="3"/>
      <c r="BF529" s="3"/>
      <c r="BG529" s="3"/>
      <c r="BH529" s="3"/>
      <c r="BI529" s="3"/>
      <c r="BJ529" s="3"/>
      <c r="BK529" s="3"/>
      <c r="BL529" s="3"/>
      <c r="BM529" s="3"/>
      <c r="BN529" s="3" t="s">
        <v>2067</v>
      </c>
    </row>
    <row r="530" spans="2:66" ht="12.95" customHeight="1">
      <c r="B530" s="1350"/>
      <c r="C530" s="1351"/>
      <c r="D530" s="1351"/>
      <c r="E530" s="1351"/>
      <c r="F530" s="1351"/>
      <c r="G530" s="1351"/>
      <c r="H530" s="1352"/>
      <c r="I530" s="47" t="s">
        <v>422</v>
      </c>
      <c r="J530" s="48"/>
      <c r="K530" s="48"/>
      <c r="L530" s="48"/>
      <c r="M530" s="48"/>
      <c r="N530" s="48"/>
      <c r="O530" s="48"/>
      <c r="P530" s="48"/>
      <c r="Q530" s="48"/>
      <c r="R530" s="48"/>
      <c r="S530" s="48"/>
      <c r="T530" s="48"/>
      <c r="U530" s="48"/>
      <c r="V530" s="48"/>
      <c r="W530" s="48"/>
      <c r="X530" s="48"/>
      <c r="Y530" s="48"/>
      <c r="Z530" s="48"/>
      <c r="AA530" s="48"/>
      <c r="AB530" s="49"/>
      <c r="AC530" s="1331" t="s">
        <v>591</v>
      </c>
      <c r="AD530" s="1289"/>
      <c r="AE530" s="1289"/>
      <c r="AF530" s="1289"/>
      <c r="AG530" s="38" t="s">
        <v>403</v>
      </c>
      <c r="AH530" s="1333"/>
      <c r="AI530" s="1333"/>
      <c r="AJ530" s="1333"/>
      <c r="AK530" s="1334"/>
      <c r="AZ530" s="3"/>
      <c r="BA530" s="3"/>
      <c r="BB530" s="3"/>
      <c r="BC530" s="3"/>
      <c r="BD530" s="3"/>
      <c r="BE530" s="3"/>
      <c r="BF530" s="3"/>
      <c r="BG530" s="3"/>
      <c r="BH530" s="3"/>
      <c r="BI530" s="3"/>
      <c r="BJ530" s="3"/>
      <c r="BK530" s="3"/>
      <c r="BL530" s="3"/>
      <c r="BM530" s="3"/>
      <c r="BN530" s="3" t="s">
        <v>2068</v>
      </c>
    </row>
    <row r="531" spans="2:66" ht="12.95" customHeight="1">
      <c r="B531" s="1350"/>
      <c r="C531" s="1351"/>
      <c r="D531" s="1351"/>
      <c r="E531" s="1351"/>
      <c r="F531" s="1351"/>
      <c r="G531" s="1351"/>
      <c r="H531" s="1352"/>
      <c r="I531" s="42" t="s">
        <v>423</v>
      </c>
      <c r="J531" s="42"/>
      <c r="K531" s="42"/>
      <c r="L531" s="42"/>
      <c r="M531" s="42"/>
      <c r="N531" s="42"/>
      <c r="O531" s="1401" t="s">
        <v>334</v>
      </c>
      <c r="P531" s="1402"/>
      <c r="Q531" s="1402"/>
      <c r="R531" s="1402"/>
      <c r="S531" s="1402"/>
      <c r="T531" s="1402"/>
      <c r="U531" s="1402"/>
      <c r="V531" s="1402"/>
      <c r="W531" s="1402"/>
      <c r="X531" s="1402"/>
      <c r="Y531" s="1402"/>
      <c r="Z531" s="1402"/>
      <c r="AA531" s="1402"/>
      <c r="AC531" s="1331" t="s">
        <v>591</v>
      </c>
      <c r="AD531" s="1289"/>
      <c r="AE531" s="1289"/>
      <c r="AF531" s="1289"/>
      <c r="AG531" s="13" t="s">
        <v>403</v>
      </c>
      <c r="AH531" s="1333"/>
      <c r="AI531" s="1333"/>
      <c r="AJ531" s="1333"/>
      <c r="AK531" s="1334"/>
      <c r="AZ531" s="3"/>
      <c r="BA531" s="3"/>
      <c r="BB531" s="3"/>
      <c r="BC531" s="3"/>
      <c r="BD531" s="3"/>
      <c r="BE531" s="3"/>
      <c r="BF531" s="3"/>
      <c r="BG531" s="3"/>
      <c r="BH531" s="3"/>
      <c r="BI531" s="3"/>
      <c r="BJ531" s="3"/>
      <c r="BK531" s="3"/>
      <c r="BL531" s="3"/>
      <c r="BM531" s="3"/>
      <c r="BN531" s="3" t="s">
        <v>2069</v>
      </c>
    </row>
    <row r="532" spans="2:66" ht="12.95" customHeight="1">
      <c r="B532" s="1350"/>
      <c r="C532" s="1351"/>
      <c r="D532" s="1351"/>
      <c r="E532" s="1351"/>
      <c r="F532" s="1351"/>
      <c r="G532" s="1351"/>
      <c r="H532" s="1352"/>
      <c r="I532" t="s">
        <v>421</v>
      </c>
      <c r="AC532" s="1331" t="s">
        <v>591</v>
      </c>
      <c r="AD532" s="1289"/>
      <c r="AE532" s="1289"/>
      <c r="AF532" s="1289"/>
      <c r="AG532" s="13" t="s">
        <v>403</v>
      </c>
      <c r="AH532" s="1333"/>
      <c r="AI532" s="1333"/>
      <c r="AJ532" s="1333"/>
      <c r="AK532" s="1334"/>
      <c r="AZ532" s="3"/>
      <c r="BA532" s="3"/>
      <c r="BB532" s="3"/>
      <c r="BC532" s="3"/>
      <c r="BD532" s="3"/>
      <c r="BE532" s="3"/>
      <c r="BF532" s="3"/>
      <c r="BG532" s="3"/>
      <c r="BH532" s="3"/>
      <c r="BI532" s="3"/>
      <c r="BJ532" s="3"/>
      <c r="BK532" s="3"/>
      <c r="BL532" s="3"/>
      <c r="BM532" s="3"/>
      <c r="BN532" s="3" t="s">
        <v>2070</v>
      </c>
    </row>
    <row r="533" spans="2:66" ht="12.95" customHeight="1">
      <c r="B533" s="1350"/>
      <c r="C533" s="1351"/>
      <c r="D533" s="1351"/>
      <c r="E533" s="1351"/>
      <c r="F533" s="1351"/>
      <c r="G533" s="1351"/>
      <c r="H533" s="1352"/>
      <c r="I533" s="48" t="s">
        <v>422</v>
      </c>
      <c r="J533" s="48"/>
      <c r="K533" s="48"/>
      <c r="L533" s="48"/>
      <c r="M533" s="48"/>
      <c r="N533" s="48"/>
      <c r="O533" s="48"/>
      <c r="P533" s="48"/>
      <c r="Q533" s="48"/>
      <c r="R533" s="48"/>
      <c r="S533" s="48"/>
      <c r="T533" s="48"/>
      <c r="U533" s="48"/>
      <c r="V533" s="48"/>
      <c r="W533" s="48"/>
      <c r="X533" s="48"/>
      <c r="Y533" s="48"/>
      <c r="Z533" s="48"/>
      <c r="AA533" s="48"/>
      <c r="AB533" s="48"/>
      <c r="AC533" s="1331" t="s">
        <v>591</v>
      </c>
      <c r="AD533" s="1289"/>
      <c r="AE533" s="1289"/>
      <c r="AF533" s="1289"/>
      <c r="AG533" s="38" t="s">
        <v>403</v>
      </c>
      <c r="AH533" s="1333"/>
      <c r="AI533" s="1333"/>
      <c r="AJ533" s="1333"/>
      <c r="AK533" s="1334"/>
      <c r="AZ533" s="3"/>
      <c r="BA533" s="3"/>
      <c r="BB533" s="3"/>
      <c r="BC533" s="3"/>
      <c r="BD533" s="3"/>
      <c r="BE533" s="3"/>
      <c r="BF533" s="3"/>
      <c r="BG533" s="3"/>
      <c r="BH533" s="3"/>
      <c r="BI533" s="3"/>
      <c r="BJ533" s="3"/>
      <c r="BK533" s="3"/>
      <c r="BL533" s="3"/>
      <c r="BM533" s="3"/>
      <c r="BN533" s="3" t="s">
        <v>2071</v>
      </c>
    </row>
    <row r="534" spans="2:66" ht="12.95" customHeight="1">
      <c r="B534" s="1350"/>
      <c r="C534" s="1351"/>
      <c r="D534" s="1351"/>
      <c r="E534" s="1351"/>
      <c r="F534" s="1351"/>
      <c r="G534" s="1351"/>
      <c r="H534" s="1352"/>
      <c r="I534" s="42" t="s">
        <v>423</v>
      </c>
      <c r="J534" s="42"/>
      <c r="K534" s="42"/>
      <c r="L534" s="42"/>
      <c r="M534" s="42"/>
      <c r="N534" s="42"/>
      <c r="O534" s="1401" t="s">
        <v>334</v>
      </c>
      <c r="P534" s="1402"/>
      <c r="Q534" s="1402"/>
      <c r="R534" s="1402"/>
      <c r="S534" s="1402"/>
      <c r="T534" s="1402"/>
      <c r="U534" s="1402"/>
      <c r="V534" s="1402"/>
      <c r="W534" s="1402"/>
      <c r="X534" s="1402"/>
      <c r="Y534" s="1402"/>
      <c r="Z534" s="1402"/>
      <c r="AA534" s="1402"/>
      <c r="AC534" s="1331" t="s">
        <v>591</v>
      </c>
      <c r="AD534" s="1289"/>
      <c r="AE534" s="1289"/>
      <c r="AF534" s="1289"/>
      <c r="AG534" s="13" t="s">
        <v>403</v>
      </c>
      <c r="AH534" s="1333"/>
      <c r="AI534" s="1333"/>
      <c r="AJ534" s="1333"/>
      <c r="AK534" s="1334"/>
      <c r="AZ534" s="3"/>
      <c r="BA534" s="3"/>
      <c r="BB534" s="3"/>
      <c r="BC534" s="3"/>
      <c r="BD534" s="3"/>
      <c r="BE534" s="3"/>
      <c r="BF534" s="3"/>
      <c r="BG534" s="3"/>
      <c r="BH534" s="3"/>
      <c r="BI534" s="3"/>
      <c r="BJ534" s="3"/>
      <c r="BK534" s="3"/>
      <c r="BL534" s="3"/>
      <c r="BM534" s="3"/>
      <c r="BN534" s="3" t="s">
        <v>2072</v>
      </c>
    </row>
    <row r="535" spans="2:66" ht="12.95" customHeight="1">
      <c r="B535" s="1350"/>
      <c r="C535" s="1351"/>
      <c r="D535" s="1351"/>
      <c r="E535" s="1351"/>
      <c r="F535" s="1351"/>
      <c r="G535" s="1351"/>
      <c r="H535" s="1352"/>
      <c r="I535" t="s">
        <v>421</v>
      </c>
      <c r="AC535" s="1331" t="s">
        <v>591</v>
      </c>
      <c r="AD535" s="1289"/>
      <c r="AE535" s="1289"/>
      <c r="AF535" s="1289"/>
      <c r="AG535" s="13" t="s">
        <v>403</v>
      </c>
      <c r="AH535" s="1333"/>
      <c r="AI535" s="1333"/>
      <c r="AJ535" s="1333"/>
      <c r="AK535" s="1334"/>
      <c r="AZ535" s="3"/>
      <c r="BA535" s="3"/>
      <c r="BB535" s="3"/>
      <c r="BC535" s="3"/>
      <c r="BD535" s="3"/>
      <c r="BE535" s="3"/>
      <c r="BF535" s="3"/>
      <c r="BG535" s="3"/>
      <c r="BH535" s="3"/>
      <c r="BI535" s="3"/>
      <c r="BJ535" s="3"/>
      <c r="BK535" s="3"/>
      <c r="BL535" s="3"/>
      <c r="BM535" s="3"/>
      <c r="BN535" s="3" t="s">
        <v>2073</v>
      </c>
    </row>
    <row r="536" spans="2:66" ht="12.95" customHeight="1">
      <c r="B536" s="1350"/>
      <c r="C536" s="1351"/>
      <c r="D536" s="1351"/>
      <c r="E536" s="1351"/>
      <c r="F536" s="1351"/>
      <c r="G536" s="1351"/>
      <c r="H536" s="1352"/>
      <c r="I536" s="48" t="s">
        <v>422</v>
      </c>
      <c r="J536" s="48"/>
      <c r="K536" s="48"/>
      <c r="L536" s="48"/>
      <c r="M536" s="48"/>
      <c r="N536" s="48"/>
      <c r="O536" s="48"/>
      <c r="P536" s="48"/>
      <c r="Q536" s="48"/>
      <c r="R536" s="48"/>
      <c r="S536" s="48"/>
      <c r="T536" s="48"/>
      <c r="U536" s="48"/>
      <c r="V536" s="48"/>
      <c r="W536" s="48"/>
      <c r="X536" s="48"/>
      <c r="Y536" s="48"/>
      <c r="Z536" s="48"/>
      <c r="AA536" s="48"/>
      <c r="AB536" s="48"/>
      <c r="AC536" s="1331" t="s">
        <v>591</v>
      </c>
      <c r="AD536" s="1289"/>
      <c r="AE536" s="1289"/>
      <c r="AF536" s="1289"/>
      <c r="AG536" s="38" t="s">
        <v>403</v>
      </c>
      <c r="AH536" s="1333"/>
      <c r="AI536" s="1333"/>
      <c r="AJ536" s="1333"/>
      <c r="AK536" s="1334"/>
      <c r="AZ536" s="3"/>
      <c r="BA536" s="3"/>
      <c r="BB536" s="3"/>
      <c r="BC536" s="3"/>
      <c r="BD536" s="3"/>
      <c r="BE536" s="3"/>
      <c r="BF536" s="3"/>
      <c r="BG536" s="3"/>
      <c r="BH536" s="3"/>
      <c r="BI536" s="3"/>
      <c r="BJ536" s="3"/>
      <c r="BK536" s="3"/>
      <c r="BL536" s="3"/>
      <c r="BM536" s="3"/>
      <c r="BN536" s="3" t="s">
        <v>2074</v>
      </c>
    </row>
    <row r="537" spans="2:66" ht="12.95" customHeight="1">
      <c r="B537" s="1350"/>
      <c r="C537" s="1351"/>
      <c r="D537" s="1351"/>
      <c r="E537" s="1351"/>
      <c r="F537" s="1351"/>
      <c r="G537" s="1351"/>
      <c r="H537" s="1352"/>
      <c r="I537" s="42" t="s">
        <v>423</v>
      </c>
      <c r="J537" s="42"/>
      <c r="K537" s="42"/>
      <c r="L537" s="42"/>
      <c r="M537" s="42"/>
      <c r="N537" s="42"/>
      <c r="O537" s="1401" t="s">
        <v>334</v>
      </c>
      <c r="P537" s="1402"/>
      <c r="Q537" s="1402"/>
      <c r="R537" s="1402"/>
      <c r="S537" s="1402"/>
      <c r="T537" s="1402"/>
      <c r="U537" s="1402"/>
      <c r="V537" s="1402"/>
      <c r="W537" s="1402"/>
      <c r="X537" s="1402"/>
      <c r="Y537" s="1402"/>
      <c r="Z537" s="1402"/>
      <c r="AA537" s="1402"/>
      <c r="AC537" s="1331" t="s">
        <v>591</v>
      </c>
      <c r="AD537" s="1289"/>
      <c r="AE537" s="1289"/>
      <c r="AF537" s="1289"/>
      <c r="AG537" s="13" t="s">
        <v>403</v>
      </c>
      <c r="AH537" s="1333"/>
      <c r="AI537" s="1333"/>
      <c r="AJ537" s="1333"/>
      <c r="AK537" s="1334"/>
      <c r="AZ537" s="3"/>
      <c r="BA537" s="3"/>
      <c r="BB537" s="3"/>
      <c r="BC537" s="3"/>
      <c r="BD537" s="3"/>
      <c r="BE537" s="3"/>
      <c r="BF537" s="3"/>
      <c r="BG537" s="3"/>
      <c r="BH537" s="3"/>
      <c r="BI537" s="3"/>
      <c r="BJ537" s="3"/>
      <c r="BK537" s="3"/>
      <c r="BL537" s="3"/>
      <c r="BM537" s="3"/>
      <c r="BN537" s="3" t="s">
        <v>2075</v>
      </c>
    </row>
    <row r="538" spans="2:66" ht="12.95" customHeight="1">
      <c r="B538" s="1350"/>
      <c r="C538" s="1351"/>
      <c r="D538" s="1351"/>
      <c r="E538" s="1351"/>
      <c r="F538" s="1351"/>
      <c r="G538" s="1351"/>
      <c r="H538" s="1352"/>
      <c r="I538" t="s">
        <v>421</v>
      </c>
      <c r="AC538" s="1331" t="s">
        <v>591</v>
      </c>
      <c r="AD538" s="1289"/>
      <c r="AE538" s="1289"/>
      <c r="AF538" s="1289"/>
      <c r="AG538" s="13" t="s">
        <v>403</v>
      </c>
      <c r="AH538" s="1333"/>
      <c r="AI538" s="1333"/>
      <c r="AJ538" s="1333"/>
      <c r="AK538" s="1334"/>
      <c r="AZ538" s="3"/>
      <c r="BA538" s="3"/>
      <c r="BB538" s="3"/>
      <c r="BC538" s="3"/>
      <c r="BD538" s="3"/>
      <c r="BE538" s="3"/>
      <c r="BF538" s="3"/>
      <c r="BG538" s="3"/>
      <c r="BH538" s="3"/>
      <c r="BI538" s="3"/>
      <c r="BJ538" s="3"/>
      <c r="BK538" s="3"/>
      <c r="BL538" s="3"/>
      <c r="BM538" s="3"/>
      <c r="BN538" s="3" t="s">
        <v>2076</v>
      </c>
    </row>
    <row r="539" spans="2:66" ht="12.95" customHeight="1">
      <c r="B539" s="1350"/>
      <c r="C539" s="1351"/>
      <c r="D539" s="1351"/>
      <c r="E539" s="1351"/>
      <c r="F539" s="1351"/>
      <c r="G539" s="1351"/>
      <c r="H539" s="1352"/>
      <c r="I539" s="48" t="s">
        <v>422</v>
      </c>
      <c r="J539" s="48"/>
      <c r="K539" s="48"/>
      <c r="L539" s="48"/>
      <c r="M539" s="48"/>
      <c r="N539" s="48"/>
      <c r="O539" s="48"/>
      <c r="P539" s="48"/>
      <c r="Q539" s="48"/>
      <c r="R539" s="48"/>
      <c r="S539" s="48"/>
      <c r="T539" s="48"/>
      <c r="U539" s="48"/>
      <c r="V539" s="48"/>
      <c r="W539" s="48"/>
      <c r="X539" s="48"/>
      <c r="Y539" s="48"/>
      <c r="Z539" s="48"/>
      <c r="AA539" s="48"/>
      <c r="AB539" s="48"/>
      <c r="AC539" s="1331" t="s">
        <v>591</v>
      </c>
      <c r="AD539" s="1289"/>
      <c r="AE539" s="1289"/>
      <c r="AF539" s="1289"/>
      <c r="AG539" s="38" t="s">
        <v>403</v>
      </c>
      <c r="AH539" s="1333"/>
      <c r="AI539" s="1333"/>
      <c r="AJ539" s="1333"/>
      <c r="AK539" s="1334"/>
      <c r="AZ539" s="3"/>
      <c r="BA539" s="3"/>
      <c r="BB539" s="3"/>
      <c r="BC539" s="3"/>
      <c r="BD539" s="3"/>
      <c r="BE539" s="3"/>
      <c r="BF539" s="3"/>
      <c r="BG539" s="3"/>
      <c r="BH539" s="3"/>
      <c r="BI539" s="3"/>
      <c r="BJ539" s="3"/>
      <c r="BK539" s="3"/>
      <c r="BL539" s="3"/>
      <c r="BM539" s="3"/>
      <c r="BN539" s="3" t="s">
        <v>2077</v>
      </c>
    </row>
    <row r="540" spans="2:66" ht="12.95" customHeight="1">
      <c r="B540" s="1350"/>
      <c r="C540" s="1351"/>
      <c r="D540" s="1351"/>
      <c r="E540" s="1351"/>
      <c r="F540" s="1351"/>
      <c r="G540" s="1351"/>
      <c r="H540" s="1352"/>
      <c r="I540" s="42" t="s">
        <v>423</v>
      </c>
      <c r="J540" s="42"/>
      <c r="K540" s="42"/>
      <c r="L540" s="42"/>
      <c r="M540" s="42"/>
      <c r="N540" s="42"/>
      <c r="O540" s="1401" t="s">
        <v>334</v>
      </c>
      <c r="P540" s="1402"/>
      <c r="Q540" s="1402"/>
      <c r="R540" s="1402"/>
      <c r="S540" s="1402"/>
      <c r="T540" s="1402"/>
      <c r="U540" s="1402"/>
      <c r="V540" s="1402"/>
      <c r="W540" s="1402"/>
      <c r="X540" s="1402"/>
      <c r="Y540" s="1402"/>
      <c r="Z540" s="1402"/>
      <c r="AA540" s="1402"/>
      <c r="AC540" s="1331" t="s">
        <v>591</v>
      </c>
      <c r="AD540" s="1289"/>
      <c r="AE540" s="1289"/>
      <c r="AF540" s="1289"/>
      <c r="AG540" s="13" t="s">
        <v>403</v>
      </c>
      <c r="AH540" s="1333"/>
      <c r="AI540" s="1333"/>
      <c r="AJ540" s="1333"/>
      <c r="AK540" s="1334"/>
      <c r="AZ540" s="3"/>
      <c r="BA540" s="3"/>
      <c r="BB540" s="3"/>
      <c r="BC540" s="3"/>
      <c r="BD540" s="3"/>
      <c r="BE540" s="3"/>
      <c r="BF540" s="3"/>
      <c r="BG540" s="3"/>
      <c r="BH540" s="3"/>
      <c r="BI540" s="3"/>
      <c r="BJ540" s="3"/>
      <c r="BK540" s="3"/>
      <c r="BL540" s="3"/>
      <c r="BM540" s="3"/>
      <c r="BN540" s="3" t="s">
        <v>2078</v>
      </c>
    </row>
    <row r="541" spans="2:66" ht="12.95" customHeight="1">
      <c r="B541" s="1350"/>
      <c r="C541" s="1351"/>
      <c r="D541" s="1351"/>
      <c r="E541" s="1351"/>
      <c r="F541" s="1351"/>
      <c r="G541" s="1351"/>
      <c r="H541" s="1352"/>
      <c r="I541" t="s">
        <v>421</v>
      </c>
      <c r="AC541" s="1331" t="s">
        <v>591</v>
      </c>
      <c r="AD541" s="1289"/>
      <c r="AE541" s="1289"/>
      <c r="AF541" s="1289"/>
      <c r="AG541" s="38" t="s">
        <v>403</v>
      </c>
      <c r="AH541" s="1333"/>
      <c r="AI541" s="1333"/>
      <c r="AJ541" s="1333"/>
      <c r="AK541" s="1334"/>
      <c r="AZ541" s="3"/>
      <c r="BA541" s="3"/>
      <c r="BB541" s="3"/>
      <c r="BC541" s="3"/>
      <c r="BD541" s="3"/>
      <c r="BE541" s="3"/>
      <c r="BF541" s="3"/>
      <c r="BG541" s="3"/>
      <c r="BH541" s="3"/>
      <c r="BI541" s="3"/>
      <c r="BJ541" s="3"/>
      <c r="BK541" s="3"/>
      <c r="BL541" s="3"/>
      <c r="BM541" s="3"/>
      <c r="BN541" s="3" t="s">
        <v>2079</v>
      </c>
    </row>
    <row r="542" spans="2:66" ht="12.95" customHeight="1">
      <c r="B542" s="1350"/>
      <c r="C542" s="1351"/>
      <c r="D542" s="1351"/>
      <c r="E542" s="1351"/>
      <c r="F542" s="1351"/>
      <c r="G542" s="1351"/>
      <c r="H542" s="1352"/>
      <c r="I542" s="48" t="s">
        <v>422</v>
      </c>
      <c r="J542" s="48"/>
      <c r="K542" s="48"/>
      <c r="L542" s="48"/>
      <c r="M542" s="48"/>
      <c r="N542" s="48"/>
      <c r="O542" s="48"/>
      <c r="P542" s="48"/>
      <c r="Q542" s="48"/>
      <c r="R542" s="48"/>
      <c r="S542" s="48"/>
      <c r="T542" s="48"/>
      <c r="U542" s="48"/>
      <c r="V542" s="48"/>
      <c r="W542" s="48"/>
      <c r="X542" s="48"/>
      <c r="Y542" s="48"/>
      <c r="Z542" s="48"/>
      <c r="AA542" s="48"/>
      <c r="AB542" s="48"/>
      <c r="AC542" s="1331" t="s">
        <v>591</v>
      </c>
      <c r="AD542" s="1289"/>
      <c r="AE542" s="1289"/>
      <c r="AF542" s="1289"/>
      <c r="AG542" s="13" t="s">
        <v>403</v>
      </c>
      <c r="AH542" s="1333"/>
      <c r="AI542" s="1333"/>
      <c r="AJ542" s="1333"/>
      <c r="AK542" s="1334"/>
      <c r="AZ542" s="3"/>
      <c r="BA542" s="3"/>
      <c r="BB542" s="3"/>
      <c r="BC542" s="3"/>
      <c r="BD542" s="3"/>
      <c r="BE542" s="3"/>
      <c r="BF542" s="3"/>
      <c r="BG542" s="3"/>
      <c r="BH542" s="3"/>
      <c r="BI542" s="3"/>
      <c r="BJ542" s="3"/>
      <c r="BK542" s="3"/>
      <c r="BL542" s="3"/>
      <c r="BM542" s="3"/>
      <c r="BN542" s="3" t="s">
        <v>2080</v>
      </c>
    </row>
    <row r="543" spans="2:66" ht="12.95" customHeight="1">
      <c r="B543" s="1350"/>
      <c r="C543" s="1351"/>
      <c r="D543" s="1351"/>
      <c r="E543" s="1351"/>
      <c r="F543" s="1351"/>
      <c r="G543" s="1351"/>
      <c r="H543" s="1352"/>
      <c r="I543" s="42" t="s">
        <v>423</v>
      </c>
      <c r="J543" s="42"/>
      <c r="K543" s="42"/>
      <c r="L543" s="42"/>
      <c r="M543" s="42"/>
      <c r="N543" s="42"/>
      <c r="O543" s="1401" t="s">
        <v>334</v>
      </c>
      <c r="P543" s="1402"/>
      <c r="Q543" s="1402"/>
      <c r="R543" s="1402"/>
      <c r="S543" s="1402"/>
      <c r="T543" s="1402"/>
      <c r="U543" s="1402"/>
      <c r="V543" s="1402"/>
      <c r="W543" s="1402"/>
      <c r="X543" s="1402"/>
      <c r="Y543" s="1402"/>
      <c r="Z543" s="1402"/>
      <c r="AA543" s="1402"/>
      <c r="AC543" s="1331" t="s">
        <v>591</v>
      </c>
      <c r="AD543" s="1289"/>
      <c r="AE543" s="1289"/>
      <c r="AF543" s="1289"/>
      <c r="AG543" s="38" t="s">
        <v>403</v>
      </c>
      <c r="AH543" s="1333"/>
      <c r="AI543" s="1333"/>
      <c r="AJ543" s="1333"/>
      <c r="AK543" s="1334"/>
      <c r="AZ543" s="3"/>
      <c r="BA543" s="3"/>
      <c r="BB543" s="3"/>
      <c r="BC543" s="3"/>
      <c r="BD543" s="3"/>
      <c r="BE543" s="3"/>
      <c r="BF543" s="3"/>
      <c r="BG543" s="3"/>
      <c r="BH543" s="3"/>
      <c r="BI543" s="3"/>
      <c r="BJ543" s="3"/>
      <c r="BK543" s="3"/>
      <c r="BL543" s="3"/>
      <c r="BM543" s="3"/>
      <c r="BN543" s="3" t="s">
        <v>2081</v>
      </c>
    </row>
    <row r="544" spans="2:66" ht="12.95" customHeight="1">
      <c r="B544" s="1350"/>
      <c r="C544" s="1351"/>
      <c r="D544" s="1351"/>
      <c r="E544" s="1351"/>
      <c r="F544" s="1351"/>
      <c r="G544" s="1351"/>
      <c r="H544" s="1352"/>
      <c r="I544" t="s">
        <v>421</v>
      </c>
      <c r="AC544" s="1331" t="s">
        <v>591</v>
      </c>
      <c r="AD544" s="1289"/>
      <c r="AE544" s="1289"/>
      <c r="AF544" s="1289"/>
      <c r="AG544" s="13" t="s">
        <v>403</v>
      </c>
      <c r="AH544" s="1333"/>
      <c r="AI544" s="1333"/>
      <c r="AJ544" s="1333"/>
      <c r="AK544" s="1334"/>
      <c r="AZ544" s="3"/>
      <c r="BA544" s="3"/>
      <c r="BB544" s="3"/>
      <c r="BC544" s="3"/>
      <c r="BD544" s="3"/>
      <c r="BE544" s="3"/>
      <c r="BF544" s="3"/>
      <c r="BG544" s="3"/>
      <c r="BH544" s="3"/>
      <c r="BI544" s="3"/>
      <c r="BJ544" s="3"/>
      <c r="BK544" s="3"/>
      <c r="BL544" s="3"/>
      <c r="BM544" s="3"/>
      <c r="BN544" s="3" t="s">
        <v>2082</v>
      </c>
    </row>
    <row r="545" spans="1:66" ht="12.95" customHeight="1">
      <c r="B545" s="1350"/>
      <c r="C545" s="1351"/>
      <c r="D545" s="1351"/>
      <c r="E545" s="1351"/>
      <c r="F545" s="1351"/>
      <c r="G545" s="1351"/>
      <c r="H545" s="1352"/>
      <c r="I545" s="48" t="s">
        <v>422</v>
      </c>
      <c r="J545" s="48"/>
      <c r="K545" s="48"/>
      <c r="L545" s="48"/>
      <c r="M545" s="48"/>
      <c r="N545" s="48"/>
      <c r="O545" s="48"/>
      <c r="P545" s="48"/>
      <c r="Q545" s="48"/>
      <c r="R545" s="48"/>
      <c r="S545" s="48"/>
      <c r="T545" s="48"/>
      <c r="U545" s="48"/>
      <c r="V545" s="48"/>
      <c r="W545" s="48"/>
      <c r="X545" s="48"/>
      <c r="Y545" s="48"/>
      <c r="Z545" s="48"/>
      <c r="AA545" s="48"/>
      <c r="AB545" s="48"/>
      <c r="AC545" s="1331" t="s">
        <v>591</v>
      </c>
      <c r="AD545" s="1289"/>
      <c r="AE545" s="1289"/>
      <c r="AF545" s="1289"/>
      <c r="AG545" s="38" t="s">
        <v>403</v>
      </c>
      <c r="AH545" s="1333"/>
      <c r="AI545" s="1333"/>
      <c r="AJ545" s="1333"/>
      <c r="AK545" s="1334"/>
      <c r="AZ545" s="3"/>
      <c r="BA545" s="3"/>
      <c r="BB545" s="3"/>
      <c r="BC545" s="3"/>
      <c r="BD545" s="3"/>
      <c r="BE545" s="3"/>
      <c r="BF545" s="3"/>
      <c r="BG545" s="3"/>
      <c r="BH545" s="3"/>
      <c r="BI545" s="3"/>
      <c r="BJ545" s="3"/>
      <c r="BK545" s="3"/>
      <c r="BL545" s="3"/>
      <c r="BM545" s="3"/>
      <c r="BN545" s="3" t="s">
        <v>2083</v>
      </c>
    </row>
    <row r="546" spans="1:66" ht="12.95" customHeight="1">
      <c r="B546" s="1350"/>
      <c r="C546" s="1351"/>
      <c r="D546" s="1351"/>
      <c r="E546" s="1351"/>
      <c r="F546" s="1351"/>
      <c r="G546" s="1351"/>
      <c r="H546" s="1352"/>
      <c r="I546" s="42" t="s">
        <v>562</v>
      </c>
      <c r="J546" s="42"/>
      <c r="K546" s="42"/>
      <c r="L546" s="42"/>
      <c r="M546" s="42"/>
      <c r="N546" s="42"/>
      <c r="O546" s="42"/>
      <c r="P546" s="42"/>
      <c r="Q546" s="42"/>
      <c r="R546" s="42"/>
      <c r="S546" s="42"/>
      <c r="T546" s="42"/>
      <c r="U546" s="42"/>
      <c r="V546" s="42"/>
      <c r="W546" s="42"/>
      <c r="AC546" s="1331">
        <v>2</v>
      </c>
      <c r="AD546" s="1289"/>
      <c r="AE546" s="1289"/>
      <c r="AF546" s="1289"/>
      <c r="AG546" s="38" t="s">
        <v>403</v>
      </c>
      <c r="AH546" s="1333">
        <v>2028</v>
      </c>
      <c r="AI546" s="1333"/>
      <c r="AJ546" s="1333"/>
      <c r="AK546" s="1334"/>
      <c r="AZ546" s="3"/>
      <c r="BA546" s="3"/>
      <c r="BB546" s="3"/>
      <c r="BC546" s="3"/>
      <c r="BD546" s="3"/>
      <c r="BE546" s="3"/>
      <c r="BF546" s="3"/>
      <c r="BG546" s="3"/>
      <c r="BH546" s="3"/>
      <c r="BI546" s="3"/>
      <c r="BJ546" s="3"/>
      <c r="BK546" s="3"/>
      <c r="BL546" s="3"/>
      <c r="BM546" s="3"/>
      <c r="BN546" s="3"/>
    </row>
    <row r="547" spans="1:66" ht="12.95" customHeight="1">
      <c r="B547" s="1350"/>
      <c r="C547" s="1351"/>
      <c r="D547" s="1351"/>
      <c r="E547" s="1351"/>
      <c r="F547" s="1351"/>
      <c r="G547" s="1351"/>
      <c r="H547" s="1352"/>
      <c r="I547" t="s">
        <v>563</v>
      </c>
      <c r="AC547" s="1331">
        <v>2</v>
      </c>
      <c r="AD547" s="1289"/>
      <c r="AE547" s="1289"/>
      <c r="AF547" s="1289"/>
      <c r="AG547" s="13" t="s">
        <v>403</v>
      </c>
      <c r="AH547" s="1333">
        <v>2027</v>
      </c>
      <c r="AI547" s="1333"/>
      <c r="AJ547" s="1333"/>
      <c r="AK547" s="1334"/>
      <c r="AZ547" s="3"/>
      <c r="BA547" s="3"/>
      <c r="BB547" s="3"/>
      <c r="BC547" s="3"/>
      <c r="BD547" s="3"/>
      <c r="BE547" s="3"/>
      <c r="BF547" s="3"/>
      <c r="BG547" s="3"/>
      <c r="BH547" s="3"/>
      <c r="BI547" s="3"/>
      <c r="BJ547" s="3"/>
      <c r="BK547" s="3"/>
      <c r="BL547" s="3"/>
      <c r="BM547" s="3"/>
      <c r="BN547" s="3"/>
    </row>
    <row r="548" spans="1:66" ht="12.95" customHeight="1">
      <c r="B548" s="1350"/>
      <c r="C548" s="1351"/>
      <c r="D548" s="1351"/>
      <c r="E548" s="1351"/>
      <c r="F548" s="1351"/>
      <c r="G548" s="1351"/>
      <c r="H548" s="1352"/>
      <c r="I548" t="s">
        <v>564</v>
      </c>
      <c r="AC548" s="1331">
        <v>8</v>
      </c>
      <c r="AD548" s="1289"/>
      <c r="AE548" s="1289"/>
      <c r="AF548" s="1289"/>
      <c r="AG548" s="38" t="s">
        <v>403</v>
      </c>
      <c r="AH548" s="1333">
        <v>2028</v>
      </c>
      <c r="AI548" s="1333"/>
      <c r="AJ548" s="1333"/>
      <c r="AK548" s="1334"/>
      <c r="AZ548" s="3"/>
      <c r="BA548" s="3"/>
      <c r="BB548" s="3"/>
      <c r="BC548" s="3"/>
      <c r="BD548" s="3"/>
      <c r="BE548" s="3"/>
      <c r="BF548" s="3"/>
      <c r="BG548" s="3"/>
      <c r="BH548" s="3"/>
      <c r="BI548" s="3"/>
      <c r="BJ548" s="3"/>
      <c r="BK548" s="3"/>
      <c r="BL548" s="3"/>
      <c r="BM548" s="3"/>
      <c r="BN548" s="3"/>
    </row>
    <row r="549" spans="1:66" ht="12.95" customHeight="1">
      <c r="B549" s="1350"/>
      <c r="C549" s="1351"/>
      <c r="D549" s="1351"/>
      <c r="E549" s="1351"/>
      <c r="F549" s="1351"/>
      <c r="G549" s="1351"/>
      <c r="H549" s="1352"/>
      <c r="I549" t="s">
        <v>565</v>
      </c>
      <c r="AC549" s="1331">
        <v>9</v>
      </c>
      <c r="AD549" s="1289"/>
      <c r="AE549" s="1289"/>
      <c r="AF549" s="1289"/>
      <c r="AG549" s="38" t="s">
        <v>403</v>
      </c>
      <c r="AH549" s="1333">
        <v>2028</v>
      </c>
      <c r="AI549" s="1333"/>
      <c r="AJ549" s="1333"/>
      <c r="AK549" s="1334"/>
      <c r="AZ549" s="3"/>
      <c r="BA549" s="3"/>
      <c r="BB549" s="3"/>
      <c r="BC549" s="3"/>
      <c r="BD549" s="3"/>
      <c r="BE549" s="3"/>
      <c r="BF549" s="3"/>
      <c r="BG549" s="3"/>
      <c r="BH549" s="3"/>
      <c r="BI549" s="3"/>
      <c r="BJ549" s="3"/>
      <c r="BK549" s="3"/>
      <c r="BL549" s="3"/>
      <c r="BM549" s="3"/>
      <c r="BN549" s="3"/>
    </row>
    <row r="550" spans="1:66" ht="12.95" customHeight="1">
      <c r="B550" s="1353"/>
      <c r="C550" s="1354"/>
      <c r="D550" s="1354"/>
      <c r="E550" s="1354"/>
      <c r="F550" s="1354"/>
      <c r="G550" s="1354"/>
      <c r="H550" s="1355"/>
      <c r="I550" s="48" t="s">
        <v>451</v>
      </c>
      <c r="J550" s="48"/>
      <c r="K550" s="48"/>
      <c r="L550" s="48"/>
      <c r="M550" s="48"/>
      <c r="N550" s="48"/>
      <c r="O550" s="48"/>
      <c r="P550" s="48"/>
      <c r="Q550" s="48"/>
      <c r="R550" s="48"/>
      <c r="S550" s="48"/>
      <c r="T550" s="48"/>
      <c r="U550" s="48"/>
      <c r="V550" s="48"/>
      <c r="W550" s="48"/>
      <c r="X550" s="48"/>
      <c r="Y550" s="48"/>
      <c r="Z550" s="48"/>
      <c r="AA550" s="48"/>
      <c r="AB550" s="48"/>
      <c r="AC550" s="1331">
        <v>9</v>
      </c>
      <c r="AD550" s="1289"/>
      <c r="AE550" s="1289"/>
      <c r="AF550" s="1289"/>
      <c r="AG550" s="38" t="s">
        <v>403</v>
      </c>
      <c r="AH550" s="1333">
        <v>2028</v>
      </c>
      <c r="AI550" s="1333"/>
      <c r="AJ550" s="1333"/>
      <c r="AK550" s="1334"/>
      <c r="BB550" s="3"/>
      <c r="BC550" s="3"/>
      <c r="BD550" s="3"/>
      <c r="BE550" s="3"/>
      <c r="BF550" s="3"/>
      <c r="BG550" s="3"/>
      <c r="BH550" s="3" t="s">
        <v>112</v>
      </c>
      <c r="BI550" s="3" t="str">
        <f>N657</f>
        <v>Yes</v>
      </c>
      <c r="BJ550" s="3"/>
      <c r="BK550" s="3"/>
      <c r="BL550" s="3"/>
      <c r="BM550" s="3"/>
      <c r="BN550" s="3"/>
    </row>
    <row r="551" spans="1:66" ht="12.95" customHeight="1">
      <c r="B551" s="532"/>
      <c r="C551" s="130"/>
      <c r="D551" s="130"/>
      <c r="E551" s="130"/>
      <c r="F551" s="130"/>
      <c r="G551" s="130"/>
      <c r="H551" s="130"/>
      <c r="AB551" s="130"/>
      <c r="AU551" s="895"/>
      <c r="AV551" s="895"/>
      <c r="AW551" s="895"/>
      <c r="AX551" s="895"/>
      <c r="AY551" s="895"/>
      <c r="BB551" s="3"/>
      <c r="BC551" s="3"/>
      <c r="BD551" s="3"/>
      <c r="BE551" s="3"/>
      <c r="BF551" s="3"/>
      <c r="BG551" s="3"/>
      <c r="BH551" s="3" t="s">
        <v>113</v>
      </c>
      <c r="BI551" s="3" t="str">
        <f>AG657</f>
        <v>No</v>
      </c>
      <c r="BJ551" s="3"/>
      <c r="BK551" s="3"/>
      <c r="BL551" s="3"/>
      <c r="BM551" s="3"/>
      <c r="BN551" s="3"/>
    </row>
    <row r="552" spans="1:66" ht="12.95" customHeight="1">
      <c r="A552" s="1609" t="s">
        <v>543</v>
      </c>
      <c r="B552" s="1609"/>
      <c r="C552" s="1609"/>
      <c r="D552" s="1609"/>
      <c r="E552" s="1609"/>
      <c r="F552" s="1609"/>
      <c r="G552" s="1609"/>
      <c r="H552" s="1609"/>
      <c r="I552" s="1609"/>
      <c r="J552" s="1609"/>
      <c r="K552" s="1609"/>
      <c r="L552" s="1609"/>
      <c r="M552" s="1609"/>
      <c r="N552" s="1609"/>
      <c r="O552" s="1609"/>
      <c r="P552" s="1609"/>
      <c r="Q552" s="1609"/>
      <c r="R552" s="1609"/>
      <c r="S552" s="1609"/>
      <c r="T552" s="1609"/>
      <c r="U552" s="1609"/>
      <c r="V552" s="1609"/>
      <c r="W552" s="1609"/>
      <c r="X552" s="1609"/>
      <c r="Y552" s="1609"/>
      <c r="Z552" s="1609"/>
      <c r="AA552" s="1609"/>
      <c r="AB552" s="1609"/>
      <c r="AC552" s="1609"/>
      <c r="AD552" s="1609"/>
      <c r="AE552" s="1609"/>
      <c r="AF552" s="1609"/>
      <c r="AG552" s="1609"/>
      <c r="AH552" s="1609"/>
      <c r="AI552" s="1609"/>
      <c r="AJ552" s="1609"/>
      <c r="AK552" s="1609"/>
      <c r="AL552" s="1609"/>
      <c r="AM552" s="1609"/>
      <c r="AN552" s="1609"/>
      <c r="AO552" s="1609"/>
      <c r="AP552" s="1609"/>
      <c r="AQ552" s="1609"/>
      <c r="AR552" s="1609"/>
      <c r="AS552" s="1609"/>
      <c r="AT552" s="1609"/>
      <c r="AU552" s="895"/>
      <c r="AV552" s="895"/>
      <c r="AW552" s="895"/>
      <c r="AX552" s="895"/>
      <c r="AY552" s="895"/>
      <c r="BB552" s="3"/>
      <c r="BC552" s="3"/>
      <c r="BD552" s="3"/>
      <c r="BE552" s="3"/>
      <c r="BF552" s="3"/>
      <c r="BG552" s="3"/>
      <c r="BH552" s="3"/>
      <c r="BI552" s="3"/>
      <c r="BJ552" s="3"/>
      <c r="BK552" s="3"/>
      <c r="BL552" s="3"/>
      <c r="BM552" s="3"/>
      <c r="BN552" s="3"/>
    </row>
    <row r="553" spans="1:66" ht="12.95" customHeight="1">
      <c r="A553" s="1609"/>
      <c r="B553" s="1609"/>
      <c r="C553" s="1609"/>
      <c r="D553" s="1609"/>
      <c r="E553" s="1609"/>
      <c r="F553" s="1609"/>
      <c r="G553" s="1609"/>
      <c r="H553" s="1609"/>
      <c r="I553" s="1609"/>
      <c r="J553" s="1609"/>
      <c r="K553" s="1609"/>
      <c r="L553" s="1609"/>
      <c r="M553" s="1609"/>
      <c r="N553" s="1609"/>
      <c r="O553" s="1609"/>
      <c r="P553" s="1609"/>
      <c r="Q553" s="1609"/>
      <c r="R553" s="1609"/>
      <c r="S553" s="1609"/>
      <c r="T553" s="1609"/>
      <c r="U553" s="1609"/>
      <c r="V553" s="1609"/>
      <c r="W553" s="1609"/>
      <c r="X553" s="1609"/>
      <c r="Y553" s="1609"/>
      <c r="Z553" s="1609"/>
      <c r="AA553" s="1609"/>
      <c r="AB553" s="1609"/>
      <c r="AC553" s="1609"/>
      <c r="AD553" s="1609"/>
      <c r="AE553" s="1609"/>
      <c r="AF553" s="1609"/>
      <c r="AG553" s="1609"/>
      <c r="AH553" s="1609"/>
      <c r="AI553" s="1609"/>
      <c r="AJ553" s="1609"/>
      <c r="AK553" s="1609"/>
      <c r="AL553" s="1609"/>
      <c r="AM553" s="1609"/>
      <c r="AN553" s="1609"/>
      <c r="AO553" s="1609"/>
      <c r="AP553" s="1609"/>
      <c r="AQ553" s="1609"/>
      <c r="AR553" s="1609"/>
      <c r="AS553" s="1609"/>
      <c r="AT553" s="1609"/>
      <c r="BB553" s="3"/>
      <c r="BC553" s="3"/>
      <c r="BD553" s="3"/>
      <c r="BE553" s="3"/>
      <c r="BF553" s="3"/>
      <c r="BG553" s="3"/>
      <c r="BH553" s="3"/>
      <c r="BI553" s="3"/>
    </row>
    <row r="554" spans="1:66" ht="12.95" customHeight="1">
      <c r="BB554" s="3"/>
      <c r="BC554" s="3"/>
      <c r="BD554" s="3"/>
      <c r="BE554" s="3"/>
      <c r="BF554" s="3"/>
      <c r="BG554" s="3"/>
      <c r="BH554" s="3"/>
      <c r="BI554" s="3"/>
    </row>
    <row r="555" spans="1:66" ht="12.95" customHeight="1">
      <c r="A555" s="2" t="s">
        <v>319</v>
      </c>
      <c r="B555" s="2"/>
      <c r="C555" s="2" t="s">
        <v>452</v>
      </c>
      <c r="BB555" s="3"/>
      <c r="BC555" s="3"/>
      <c r="BD555" s="3"/>
      <c r="BE555" s="3"/>
      <c r="BF555" s="3"/>
      <c r="BG555" s="3"/>
      <c r="BH555" s="3"/>
      <c r="BI555" s="3"/>
    </row>
    <row r="556" spans="1:66" ht="12.95" customHeight="1">
      <c r="A556" s="2"/>
      <c r="B556" s="2"/>
      <c r="C556" s="2"/>
      <c r="BB556" s="3"/>
      <c r="BC556" s="3"/>
      <c r="BD556" s="3"/>
      <c r="BE556" s="3"/>
      <c r="BF556" s="3"/>
      <c r="BG556" s="3"/>
      <c r="BH556" s="3"/>
      <c r="BI556" s="3"/>
    </row>
    <row r="557" spans="1:66" ht="12.95" customHeight="1">
      <c r="A557" s="2"/>
      <c r="B557" s="2"/>
      <c r="C557" s="2"/>
      <c r="D557" s="2" t="s">
        <v>2055</v>
      </c>
      <c r="AC557" s="98"/>
      <c r="BB557" s="3"/>
      <c r="BC557" s="3"/>
      <c r="BD557" s="3"/>
      <c r="BE557" s="3"/>
      <c r="BF557" s="3"/>
      <c r="BG557" s="3"/>
      <c r="BH557" s="3"/>
      <c r="BI557" s="3"/>
    </row>
    <row r="558" spans="1:66" ht="12.95" customHeight="1">
      <c r="B558" s="512"/>
      <c r="BB558" s="3"/>
      <c r="BC558" s="3"/>
      <c r="BD558" s="3"/>
      <c r="BE558" s="3"/>
      <c r="BF558" s="3"/>
      <c r="BG558" s="3"/>
      <c r="BH558" s="3" t="s">
        <v>119</v>
      </c>
      <c r="BI558" s="3" t="str">
        <f>N665</f>
        <v>Yes</v>
      </c>
    </row>
    <row r="559" spans="1:66" ht="12.95" customHeight="1">
      <c r="B559" s="1347" t="s">
        <v>2057</v>
      </c>
      <c r="C559" s="1348"/>
      <c r="D559" s="1348"/>
      <c r="E559" s="1348"/>
      <c r="F559" s="1348"/>
      <c r="G559" s="1348"/>
      <c r="H559" s="1348"/>
      <c r="I559" s="1348"/>
      <c r="J559" s="1348"/>
      <c r="K559" s="1348"/>
      <c r="L559" s="1349"/>
      <c r="M559" s="1347" t="s">
        <v>2058</v>
      </c>
      <c r="N559" s="1348"/>
      <c r="O559" s="1348"/>
      <c r="P559" s="1349"/>
      <c r="Q559" s="1347" t="s">
        <v>2084</v>
      </c>
      <c r="R559" s="1348"/>
      <c r="S559" s="1349"/>
      <c r="T559" s="1347" t="s">
        <v>2085</v>
      </c>
      <c r="U559" s="1348"/>
      <c r="V559" s="1349"/>
      <c r="W559" s="1347" t="s">
        <v>453</v>
      </c>
      <c r="X559" s="1348"/>
      <c r="Y559" s="1349"/>
      <c r="Z559" s="1347" t="s">
        <v>1827</v>
      </c>
      <c r="AA559" s="1348"/>
      <c r="AB559" s="1348"/>
      <c r="AC559" s="1348"/>
      <c r="AD559" s="1349"/>
      <c r="AE559" s="1347" t="s">
        <v>1665</v>
      </c>
      <c r="AF559" s="1348"/>
      <c r="AG559" s="1348"/>
      <c r="AH559" s="1349"/>
      <c r="AI559" s="1347" t="s">
        <v>1666</v>
      </c>
      <c r="AJ559" s="1348"/>
      <c r="AK559" s="1348"/>
      <c r="AL559" s="1349"/>
      <c r="AM559" s="1347" t="s">
        <v>454</v>
      </c>
      <c r="AN559" s="1348"/>
      <c r="AO559" s="1348"/>
      <c r="AP559" s="1348"/>
      <c r="AQ559" s="1348"/>
      <c r="AR559" s="1348"/>
      <c r="AS559" s="1349"/>
      <c r="BB559" s="3"/>
      <c r="BC559" s="3"/>
      <c r="BD559" s="3"/>
      <c r="BE559" s="3"/>
      <c r="BF559" s="3"/>
      <c r="BG559" s="3"/>
      <c r="BH559" s="3" t="s">
        <v>581</v>
      </c>
      <c r="BI559" s="3" t="str">
        <f>AG665</f>
        <v>Yes</v>
      </c>
    </row>
    <row r="560" spans="1:66" ht="12.95" customHeight="1">
      <c r="B560" s="1350"/>
      <c r="C560" s="1351"/>
      <c r="D560" s="1351"/>
      <c r="E560" s="1351"/>
      <c r="F560" s="1351"/>
      <c r="G560" s="1351"/>
      <c r="H560" s="1351"/>
      <c r="I560" s="1351"/>
      <c r="J560" s="1351"/>
      <c r="K560" s="1351"/>
      <c r="L560" s="1352"/>
      <c r="M560" s="1350"/>
      <c r="N560" s="1351"/>
      <c r="O560" s="1351"/>
      <c r="P560" s="1352"/>
      <c r="Q560" s="1350"/>
      <c r="R560" s="1351"/>
      <c r="S560" s="1352"/>
      <c r="T560" s="1350"/>
      <c r="U560" s="1351"/>
      <c r="V560" s="1352"/>
      <c r="W560" s="1350"/>
      <c r="X560" s="1351"/>
      <c r="Y560" s="1352"/>
      <c r="Z560" s="1350"/>
      <c r="AA560" s="1351"/>
      <c r="AB560" s="1351"/>
      <c r="AC560" s="1351"/>
      <c r="AD560" s="1352"/>
      <c r="AE560" s="1350"/>
      <c r="AF560" s="1351"/>
      <c r="AG560" s="1351"/>
      <c r="AH560" s="1352"/>
      <c r="AI560" s="1350"/>
      <c r="AJ560" s="1351"/>
      <c r="AK560" s="1351"/>
      <c r="AL560" s="1352"/>
      <c r="AM560" s="1350"/>
      <c r="AN560" s="1351"/>
      <c r="AO560" s="1351"/>
      <c r="AP560" s="1351"/>
      <c r="AQ560" s="1351"/>
      <c r="AR560" s="1351"/>
      <c r="AS560" s="1352"/>
      <c r="AU560" s="1141"/>
      <c r="BB560" s="3"/>
      <c r="BC560" s="3"/>
      <c r="BD560" s="3"/>
      <c r="BE560" s="3"/>
      <c r="BF560" s="3"/>
      <c r="BG560" s="3"/>
      <c r="BH560" s="3"/>
      <c r="BI560" s="3"/>
    </row>
    <row r="561" spans="1:61" ht="12.95" customHeight="1">
      <c r="B561" s="1353"/>
      <c r="C561" s="1354"/>
      <c r="D561" s="1354"/>
      <c r="E561" s="1354"/>
      <c r="F561" s="1354"/>
      <c r="G561" s="1354"/>
      <c r="H561" s="1354"/>
      <c r="I561" s="1354"/>
      <c r="J561" s="1354"/>
      <c r="K561" s="1354"/>
      <c r="L561" s="1355"/>
      <c r="M561" s="1353"/>
      <c r="N561" s="1354"/>
      <c r="O561" s="1354"/>
      <c r="P561" s="1355"/>
      <c r="Q561" s="1353"/>
      <c r="R561" s="1354"/>
      <c r="S561" s="1355"/>
      <c r="T561" s="1353"/>
      <c r="U561" s="1354"/>
      <c r="V561" s="1355"/>
      <c r="W561" s="1353"/>
      <c r="X561" s="1354"/>
      <c r="Y561" s="1355"/>
      <c r="Z561" s="1353"/>
      <c r="AA561" s="1354"/>
      <c r="AB561" s="1354"/>
      <c r="AC561" s="1354"/>
      <c r="AD561" s="1355"/>
      <c r="AE561" s="1353"/>
      <c r="AF561" s="1354"/>
      <c r="AG561" s="1354"/>
      <c r="AH561" s="1355"/>
      <c r="AI561" s="1353"/>
      <c r="AJ561" s="1354"/>
      <c r="AK561" s="1354"/>
      <c r="AL561" s="1355"/>
      <c r="AM561" s="1353"/>
      <c r="AN561" s="1354"/>
      <c r="AO561" s="1354"/>
      <c r="AP561" s="1354"/>
      <c r="AQ561" s="1354"/>
      <c r="AR561" s="1354"/>
      <c r="AS561" s="1355"/>
      <c r="AU561" s="1141"/>
      <c r="BB561" s="3"/>
      <c r="BC561" s="3"/>
      <c r="BD561" s="3"/>
      <c r="BE561" s="3"/>
      <c r="BF561" s="3"/>
      <c r="BG561" s="3"/>
      <c r="BH561" s="3"/>
      <c r="BI561" s="3"/>
    </row>
    <row r="562" spans="1:61" ht="12.95" customHeight="1">
      <c r="B562" s="51" t="s">
        <v>112</v>
      </c>
      <c r="C562" s="1376" t="s">
        <v>2730</v>
      </c>
      <c r="D562" s="1376"/>
      <c r="E562" s="1376"/>
      <c r="F562" s="1376"/>
      <c r="G562" s="1376"/>
      <c r="H562" s="1376"/>
      <c r="I562" s="1376"/>
      <c r="J562" s="1376"/>
      <c r="K562" s="1376"/>
      <c r="L562" s="1376"/>
      <c r="M562" s="1376" t="s">
        <v>2074</v>
      </c>
      <c r="N562" s="1376"/>
      <c r="O562" s="1376"/>
      <c r="P562" s="1376"/>
      <c r="Q562" s="1374">
        <v>30</v>
      </c>
      <c r="R562" s="1374"/>
      <c r="S562" s="1375"/>
      <c r="T562" s="1373">
        <v>30</v>
      </c>
      <c r="U562" s="1374"/>
      <c r="V562" s="1375"/>
      <c r="W562" s="1378">
        <v>5.57E-2</v>
      </c>
      <c r="X562" s="1379"/>
      <c r="Y562" s="1380"/>
      <c r="Z562" s="1332" t="s">
        <v>1184</v>
      </c>
      <c r="AA562" s="1332"/>
      <c r="AB562" s="1332"/>
      <c r="AC562" s="1332"/>
      <c r="AD562" s="1332"/>
      <c r="AE562" s="1364"/>
      <c r="AF562" s="1365"/>
      <c r="AG562" s="1365"/>
      <c r="AH562" s="1366"/>
      <c r="AI562" s="1413"/>
      <c r="AJ562" s="1414"/>
      <c r="AK562" s="1414"/>
      <c r="AL562" s="1415"/>
      <c r="AM562" s="1311">
        <v>9740606</v>
      </c>
      <c r="AN562" s="1312"/>
      <c r="AO562" s="1312"/>
      <c r="AP562" s="1312"/>
      <c r="AQ562" s="1312"/>
      <c r="AR562" s="1312"/>
      <c r="AS562" s="1313"/>
      <c r="AT562" s="1142"/>
      <c r="AU562" s="1141"/>
      <c r="BB562" s="3"/>
      <c r="BC562" s="3"/>
      <c r="BD562" s="3"/>
      <c r="BE562" s="3"/>
      <c r="BF562" s="3"/>
      <c r="BG562" s="3"/>
      <c r="BH562" s="3"/>
      <c r="BI562" s="3"/>
    </row>
    <row r="563" spans="1:61" ht="12.95" customHeight="1">
      <c r="B563" s="52" t="s">
        <v>113</v>
      </c>
      <c r="C563" s="1377" t="s">
        <v>2731</v>
      </c>
      <c r="D563" s="1377"/>
      <c r="E563" s="1377"/>
      <c r="F563" s="1377"/>
      <c r="G563" s="1377"/>
      <c r="H563" s="1377"/>
      <c r="I563" s="1377"/>
      <c r="J563" s="1377"/>
      <c r="K563" s="1377"/>
      <c r="L563" s="1377"/>
      <c r="M563" s="1376" t="s">
        <v>2073</v>
      </c>
      <c r="N563" s="1376"/>
      <c r="O563" s="1376"/>
      <c r="P563" s="1376"/>
      <c r="Q563" s="1373">
        <v>30</v>
      </c>
      <c r="R563" s="1374"/>
      <c r="S563" s="1375"/>
      <c r="T563" s="1373">
        <v>30</v>
      </c>
      <c r="U563" s="1374"/>
      <c r="V563" s="1375"/>
      <c r="W563" s="1378">
        <v>5.57E-2</v>
      </c>
      <c r="X563" s="1379"/>
      <c r="Y563" s="1380"/>
      <c r="Z563" s="1332" t="s">
        <v>1184</v>
      </c>
      <c r="AA563" s="1332"/>
      <c r="AB563" s="1332"/>
      <c r="AC563" s="1332"/>
      <c r="AD563" s="1332"/>
      <c r="AE563" s="1364"/>
      <c r="AF563" s="1365"/>
      <c r="AG563" s="1365"/>
      <c r="AH563" s="1366"/>
      <c r="AI563" s="1413"/>
      <c r="AJ563" s="1414"/>
      <c r="AK563" s="1414"/>
      <c r="AL563" s="1415"/>
      <c r="AM563" s="1311">
        <v>16820895</v>
      </c>
      <c r="AN563" s="1312"/>
      <c r="AO563" s="1312"/>
      <c r="AP563" s="1312"/>
      <c r="AQ563" s="1312"/>
      <c r="AR563" s="1312"/>
      <c r="AS563" s="1313"/>
      <c r="AT563" s="1142" t="str">
        <f>IF(AND(NOT(C562=""),C563="",NOT(C564="")),"!","")</f>
        <v/>
      </c>
      <c r="AU563" s="1141"/>
      <c r="BB563" s="3"/>
      <c r="BC563" s="3"/>
      <c r="BD563" s="3"/>
      <c r="BE563" s="3"/>
      <c r="BF563" s="3"/>
      <c r="BG563" s="3"/>
      <c r="BH563" s="3"/>
      <c r="BI563" s="3"/>
    </row>
    <row r="564" spans="1:61" ht="12.95" customHeight="1">
      <c r="B564" s="52" t="s">
        <v>119</v>
      </c>
      <c r="C564" s="1377" t="s">
        <v>2739</v>
      </c>
      <c r="D564" s="1377"/>
      <c r="E564" s="1377"/>
      <c r="F564" s="1377"/>
      <c r="G564" s="1377"/>
      <c r="H564" s="1377"/>
      <c r="I564" s="1377"/>
      <c r="J564" s="1377"/>
      <c r="K564" s="1377"/>
      <c r="L564" s="1377"/>
      <c r="M564" s="1376" t="s">
        <v>2068</v>
      </c>
      <c r="N564" s="1376"/>
      <c r="O564" s="1376"/>
      <c r="P564" s="1376"/>
      <c r="Q564" s="1373"/>
      <c r="R564" s="1374"/>
      <c r="S564" s="1375"/>
      <c r="T564" s="1373"/>
      <c r="U564" s="1374"/>
      <c r="V564" s="1375"/>
      <c r="W564" s="1378"/>
      <c r="X564" s="1379"/>
      <c r="Y564" s="1380"/>
      <c r="Z564" s="1332" t="s">
        <v>1184</v>
      </c>
      <c r="AA564" s="1332"/>
      <c r="AB564" s="1332"/>
      <c r="AC564" s="1332"/>
      <c r="AD564" s="1332"/>
      <c r="AE564" s="1364"/>
      <c r="AF564" s="1365"/>
      <c r="AG564" s="1365"/>
      <c r="AH564" s="1366"/>
      <c r="AI564" s="1413"/>
      <c r="AJ564" s="1414"/>
      <c r="AK564" s="1414"/>
      <c r="AL564" s="1415"/>
      <c r="AM564" s="1311">
        <v>1000000</v>
      </c>
      <c r="AN564" s="1312"/>
      <c r="AO564" s="1312"/>
      <c r="AP564" s="1312"/>
      <c r="AQ564" s="1312"/>
      <c r="AR564" s="1312"/>
      <c r="AS564" s="1313"/>
      <c r="AT564" s="1142" t="str">
        <f>IF(AND(NOT(C563=""),C564="",NOT(C565="")),"!","")</f>
        <v/>
      </c>
      <c r="AU564" s="1141"/>
      <c r="BB564" s="3"/>
      <c r="BC564" s="3"/>
      <c r="BD564" s="3"/>
      <c r="BE564" s="3"/>
      <c r="BF564" s="3"/>
      <c r="BG564" s="3"/>
      <c r="BH564" s="3"/>
      <c r="BI564" s="3"/>
    </row>
    <row r="565" spans="1:61" ht="12.95" customHeight="1">
      <c r="B565" s="52" t="s">
        <v>581</v>
      </c>
      <c r="C565" s="1377" t="s">
        <v>2740</v>
      </c>
      <c r="D565" s="1377"/>
      <c r="E565" s="1377"/>
      <c r="F565" s="1377"/>
      <c r="G565" s="1377"/>
      <c r="H565" s="1377"/>
      <c r="I565" s="1377"/>
      <c r="J565" s="1377"/>
      <c r="K565" s="1377"/>
      <c r="L565" s="1377"/>
      <c r="M565" s="1376" t="s">
        <v>2065</v>
      </c>
      <c r="N565" s="1376"/>
      <c r="O565" s="1376"/>
      <c r="P565" s="1376"/>
      <c r="Q565" s="1373"/>
      <c r="R565" s="1374"/>
      <c r="S565" s="1375"/>
      <c r="T565" s="1373"/>
      <c r="U565" s="1374"/>
      <c r="V565" s="1375"/>
      <c r="W565" s="1378"/>
      <c r="X565" s="1379"/>
      <c r="Y565" s="1380"/>
      <c r="Z565" s="1332" t="s">
        <v>1184</v>
      </c>
      <c r="AA565" s="1332"/>
      <c r="AB565" s="1332"/>
      <c r="AC565" s="1332"/>
      <c r="AD565" s="1332"/>
      <c r="AE565" s="1364"/>
      <c r="AF565" s="1365"/>
      <c r="AG565" s="1365"/>
      <c r="AH565" s="1366"/>
      <c r="AI565" s="1413"/>
      <c r="AJ565" s="1414"/>
      <c r="AK565" s="1414"/>
      <c r="AL565" s="1415"/>
      <c r="AM565" s="1311">
        <f>AO649-AM562-AM563-AM564</f>
        <v>6621636</v>
      </c>
      <c r="AN565" s="1312"/>
      <c r="AO565" s="1312"/>
      <c r="AP565" s="1312"/>
      <c r="AQ565" s="1312"/>
      <c r="AR565" s="1312"/>
      <c r="AS565" s="1313"/>
      <c r="AT565" s="1142" t="str">
        <f>IF(AND(NOT(C564=""),C565="",NOT(C566="")),"!","")</f>
        <v/>
      </c>
      <c r="AU565" s="1141"/>
      <c r="BB565" s="3"/>
      <c r="BC565" s="3"/>
      <c r="BD565" s="3"/>
      <c r="BE565" s="3"/>
      <c r="BF565" s="3"/>
      <c r="BG565" s="3"/>
      <c r="BH565" s="3"/>
      <c r="BI565" s="3"/>
    </row>
    <row r="566" spans="1:61" ht="12.95" customHeight="1">
      <c r="B566" s="52" t="s">
        <v>763</v>
      </c>
      <c r="C566" s="1377"/>
      <c r="D566" s="1377"/>
      <c r="E566" s="1377"/>
      <c r="F566" s="1377"/>
      <c r="G566" s="1377"/>
      <c r="H566" s="1377"/>
      <c r="I566" s="1377"/>
      <c r="J566" s="1377"/>
      <c r="K566" s="1377"/>
      <c r="L566" s="1377"/>
      <c r="M566" s="1376" t="s">
        <v>1184</v>
      </c>
      <c r="N566" s="1376"/>
      <c r="O566" s="1376"/>
      <c r="P566" s="1376"/>
      <c r="Q566" s="1373"/>
      <c r="R566" s="1374"/>
      <c r="S566" s="1375"/>
      <c r="T566" s="1373"/>
      <c r="U566" s="1374"/>
      <c r="V566" s="1375"/>
      <c r="W566" s="1378"/>
      <c r="X566" s="1379"/>
      <c r="Y566" s="1380"/>
      <c r="Z566" s="1332" t="s">
        <v>1184</v>
      </c>
      <c r="AA566" s="1332"/>
      <c r="AB566" s="1332"/>
      <c r="AC566" s="1332"/>
      <c r="AD566" s="1332"/>
      <c r="AE566" s="1364"/>
      <c r="AF566" s="1365"/>
      <c r="AG566" s="1365"/>
      <c r="AH566" s="1366"/>
      <c r="AI566" s="1413"/>
      <c r="AJ566" s="1414"/>
      <c r="AK566" s="1414"/>
      <c r="AL566" s="1415"/>
      <c r="AM566" s="1311"/>
      <c r="AN566" s="1312"/>
      <c r="AO566" s="1312"/>
      <c r="AP566" s="1312"/>
      <c r="AQ566" s="1312"/>
      <c r="AR566" s="1312"/>
      <c r="AS566" s="1313"/>
      <c r="AT566" s="1142" t="str">
        <f t="shared" ref="AT566:AT573" si="2">IF(AND(NOT(C565=""),C566="",NOT(C567="")),"!","")</f>
        <v/>
      </c>
      <c r="AU566" s="1141"/>
      <c r="BB566" s="3"/>
      <c r="BC566" s="3"/>
      <c r="BD566" s="3"/>
      <c r="BE566" s="3"/>
      <c r="BF566" s="3"/>
      <c r="BG566" s="3"/>
      <c r="BH566" s="3" t="s">
        <v>763</v>
      </c>
      <c r="BI566" s="3" t="str">
        <f>N673</f>
        <v>No</v>
      </c>
    </row>
    <row r="567" spans="1:61" ht="12.95" customHeight="1">
      <c r="B567" s="52" t="s">
        <v>584</v>
      </c>
      <c r="C567" s="1377"/>
      <c r="D567" s="1377"/>
      <c r="E567" s="1377"/>
      <c r="F567" s="1377"/>
      <c r="G567" s="1377"/>
      <c r="H567" s="1377"/>
      <c r="I567" s="1377"/>
      <c r="J567" s="1377"/>
      <c r="K567" s="1377"/>
      <c r="L567" s="1377"/>
      <c r="M567" s="1376" t="s">
        <v>1184</v>
      </c>
      <c r="N567" s="1376"/>
      <c r="O567" s="1376"/>
      <c r="P567" s="1376"/>
      <c r="Q567" s="1373"/>
      <c r="R567" s="1374"/>
      <c r="S567" s="1375"/>
      <c r="T567" s="1373"/>
      <c r="U567" s="1374"/>
      <c r="V567" s="1375"/>
      <c r="W567" s="1378"/>
      <c r="X567" s="1379"/>
      <c r="Y567" s="1380"/>
      <c r="Z567" s="1332" t="s">
        <v>1184</v>
      </c>
      <c r="AA567" s="1332"/>
      <c r="AB567" s="1332"/>
      <c r="AC567" s="1332"/>
      <c r="AD567" s="1332"/>
      <c r="AE567" s="1364"/>
      <c r="AF567" s="1365"/>
      <c r="AG567" s="1365"/>
      <c r="AH567" s="1366"/>
      <c r="AI567" s="1413"/>
      <c r="AJ567" s="1414"/>
      <c r="AK567" s="1414"/>
      <c r="AL567" s="1415"/>
      <c r="AM567" s="1311"/>
      <c r="AN567" s="1312"/>
      <c r="AO567" s="1312"/>
      <c r="AP567" s="1312"/>
      <c r="AQ567" s="1312"/>
      <c r="AR567" s="1312"/>
      <c r="AS567" s="1313"/>
      <c r="AT567" s="1142" t="str">
        <f t="shared" si="2"/>
        <v/>
      </c>
      <c r="AU567" s="1141"/>
      <c r="BB567" s="3"/>
      <c r="BC567" s="3"/>
      <c r="BD567" s="3"/>
      <c r="BE567" s="3"/>
      <c r="BF567" s="3"/>
      <c r="BG567" s="3"/>
      <c r="BH567" s="3" t="s">
        <v>584</v>
      </c>
      <c r="BI567" s="3" t="str">
        <f>AG673</f>
        <v>No</v>
      </c>
    </row>
    <row r="568" spans="1:61" ht="12.95" customHeight="1">
      <c r="B568" s="52" t="s">
        <v>455</v>
      </c>
      <c r="C568" s="1377"/>
      <c r="D568" s="1377"/>
      <c r="E568" s="1377"/>
      <c r="F568" s="1377"/>
      <c r="G568" s="1377"/>
      <c r="H568" s="1377"/>
      <c r="I568" s="1377"/>
      <c r="J568" s="1377"/>
      <c r="K568" s="1377"/>
      <c r="L568" s="1377"/>
      <c r="M568" s="1376" t="s">
        <v>1184</v>
      </c>
      <c r="N568" s="1376"/>
      <c r="O568" s="1376"/>
      <c r="P568" s="1376"/>
      <c r="Q568" s="1373"/>
      <c r="R568" s="1374"/>
      <c r="S568" s="1375"/>
      <c r="T568" s="1373"/>
      <c r="U568" s="1374"/>
      <c r="V568" s="1375"/>
      <c r="W568" s="1378"/>
      <c r="X568" s="1379"/>
      <c r="Y568" s="1380"/>
      <c r="Z568" s="1332" t="s">
        <v>1184</v>
      </c>
      <c r="AA568" s="1332"/>
      <c r="AB568" s="1332"/>
      <c r="AC568" s="1332"/>
      <c r="AD568" s="1332"/>
      <c r="AE568" s="1364"/>
      <c r="AF568" s="1365"/>
      <c r="AG568" s="1365"/>
      <c r="AH568" s="1366"/>
      <c r="AI568" s="1413"/>
      <c r="AJ568" s="1414"/>
      <c r="AK568" s="1414"/>
      <c r="AL568" s="1415"/>
      <c r="AM568" s="1311"/>
      <c r="AN568" s="1312"/>
      <c r="AO568" s="1312"/>
      <c r="AP568" s="1312"/>
      <c r="AQ568" s="1312"/>
      <c r="AR568" s="1312"/>
      <c r="AS568" s="1313"/>
      <c r="AT568" s="1142" t="str">
        <f t="shared" si="2"/>
        <v/>
      </c>
      <c r="AU568" s="1141"/>
      <c r="BB568" s="3"/>
      <c r="BC568" s="3"/>
      <c r="BD568" s="3"/>
      <c r="BE568" s="3"/>
      <c r="BF568" s="3"/>
      <c r="BG568" s="3"/>
      <c r="BH568" s="3"/>
      <c r="BI568" s="3"/>
    </row>
    <row r="569" spans="1:61" ht="12.95" customHeight="1">
      <c r="B569" s="52" t="s">
        <v>456</v>
      </c>
      <c r="C569" s="1377"/>
      <c r="D569" s="1377"/>
      <c r="E569" s="1377"/>
      <c r="F569" s="1377"/>
      <c r="G569" s="1377"/>
      <c r="H569" s="1377"/>
      <c r="I569" s="1377"/>
      <c r="J569" s="1377"/>
      <c r="K569" s="1377"/>
      <c r="L569" s="1377"/>
      <c r="M569" s="1376" t="s">
        <v>1184</v>
      </c>
      <c r="N569" s="1376"/>
      <c r="O569" s="1376"/>
      <c r="P569" s="1376"/>
      <c r="Q569" s="1373"/>
      <c r="R569" s="1374"/>
      <c r="S569" s="1375"/>
      <c r="T569" s="1373"/>
      <c r="U569" s="1374"/>
      <c r="V569" s="1375"/>
      <c r="W569" s="1378"/>
      <c r="X569" s="1379"/>
      <c r="Y569" s="1380"/>
      <c r="Z569" s="1332" t="s">
        <v>1184</v>
      </c>
      <c r="AA569" s="1332"/>
      <c r="AB569" s="1332"/>
      <c r="AC569" s="1332"/>
      <c r="AD569" s="1332"/>
      <c r="AE569" s="1364"/>
      <c r="AF569" s="1365"/>
      <c r="AG569" s="1365"/>
      <c r="AH569" s="1366"/>
      <c r="AI569" s="1413"/>
      <c r="AJ569" s="1414"/>
      <c r="AK569" s="1414"/>
      <c r="AL569" s="1415"/>
      <c r="AM569" s="1311"/>
      <c r="AN569" s="1312"/>
      <c r="AO569" s="1312"/>
      <c r="AP569" s="1312"/>
      <c r="AQ569" s="1312"/>
      <c r="AR569" s="1312"/>
      <c r="AS569" s="1313"/>
      <c r="AT569" s="1142" t="str">
        <f t="shared" si="2"/>
        <v/>
      </c>
      <c r="AU569" s="1141"/>
      <c r="BB569" s="3"/>
      <c r="BC569" s="3"/>
      <c r="BD569" s="3"/>
      <c r="BE569" s="3"/>
      <c r="BF569" s="3"/>
      <c r="BG569" s="3"/>
      <c r="BH569" s="3"/>
      <c r="BI569" s="3"/>
    </row>
    <row r="570" spans="1:61" ht="12.95" customHeight="1">
      <c r="B570" s="52" t="s">
        <v>461</v>
      </c>
      <c r="C570" s="1377"/>
      <c r="D570" s="1377"/>
      <c r="E570" s="1377"/>
      <c r="F570" s="1377"/>
      <c r="G570" s="1377"/>
      <c r="H570" s="1377"/>
      <c r="I570" s="1377"/>
      <c r="J570" s="1377"/>
      <c r="K570" s="1377"/>
      <c r="L570" s="1377"/>
      <c r="M570" s="1376" t="s">
        <v>1184</v>
      </c>
      <c r="N570" s="1376"/>
      <c r="O570" s="1376"/>
      <c r="P570" s="1376"/>
      <c r="Q570" s="1373"/>
      <c r="R570" s="1374"/>
      <c r="S570" s="1375"/>
      <c r="T570" s="1373"/>
      <c r="U570" s="1374"/>
      <c r="V570" s="1375"/>
      <c r="W570" s="1378"/>
      <c r="X570" s="1379"/>
      <c r="Y570" s="1380"/>
      <c r="Z570" s="1332" t="s">
        <v>1184</v>
      </c>
      <c r="AA570" s="1332"/>
      <c r="AB570" s="1332"/>
      <c r="AC570" s="1332"/>
      <c r="AD570" s="1332"/>
      <c r="AE570" s="1364"/>
      <c r="AF570" s="1365"/>
      <c r="AG570" s="1365"/>
      <c r="AH570" s="1366"/>
      <c r="AI570" s="1413"/>
      <c r="AJ570" s="1414"/>
      <c r="AK570" s="1414"/>
      <c r="AL570" s="1415"/>
      <c r="AM570" s="1311"/>
      <c r="AN570" s="1312"/>
      <c r="AO570" s="1312"/>
      <c r="AP570" s="1312"/>
      <c r="AQ570" s="1312"/>
      <c r="AR570" s="1312"/>
      <c r="AS570" s="1313"/>
      <c r="AT570" s="1142" t="str">
        <f t="shared" si="2"/>
        <v/>
      </c>
      <c r="AU570" s="1141"/>
      <c r="BB570" s="3"/>
      <c r="BC570" s="3"/>
      <c r="BD570" s="3"/>
      <c r="BE570" s="3"/>
      <c r="BF570" s="3"/>
      <c r="BG570" s="3"/>
      <c r="BH570" s="3"/>
      <c r="BI570" s="3"/>
    </row>
    <row r="571" spans="1:61" ht="12.95" customHeight="1">
      <c r="B571" s="52" t="s">
        <v>646</v>
      </c>
      <c r="C571" s="1377"/>
      <c r="D571" s="1377"/>
      <c r="E571" s="1377"/>
      <c r="F571" s="1377"/>
      <c r="G571" s="1377"/>
      <c r="H571" s="1377"/>
      <c r="I571" s="1377"/>
      <c r="J571" s="1377"/>
      <c r="K571" s="1377"/>
      <c r="L571" s="1377"/>
      <c r="M571" s="1376" t="s">
        <v>1184</v>
      </c>
      <c r="N571" s="1376"/>
      <c r="O571" s="1376"/>
      <c r="P571" s="1376"/>
      <c r="Q571" s="1373"/>
      <c r="R571" s="1374"/>
      <c r="S571" s="1375"/>
      <c r="T571" s="1373"/>
      <c r="U571" s="1374"/>
      <c r="V571" s="1375"/>
      <c r="W571" s="1378"/>
      <c r="X571" s="1379"/>
      <c r="Y571" s="1380"/>
      <c r="Z571" s="1332" t="s">
        <v>1184</v>
      </c>
      <c r="AA571" s="1332"/>
      <c r="AB571" s="1332"/>
      <c r="AC571" s="1332"/>
      <c r="AD571" s="1332"/>
      <c r="AE571" s="1364"/>
      <c r="AF571" s="1365"/>
      <c r="AG571" s="1365"/>
      <c r="AH571" s="1366"/>
      <c r="AI571" s="1413"/>
      <c r="AJ571" s="1414"/>
      <c r="AK571" s="1414"/>
      <c r="AL571" s="1415"/>
      <c r="AM571" s="1311"/>
      <c r="AN571" s="1312"/>
      <c r="AO571" s="1312"/>
      <c r="AP571" s="1312"/>
      <c r="AQ571" s="1312"/>
      <c r="AR571" s="1312"/>
      <c r="AS571" s="1313"/>
      <c r="AT571" s="1142" t="str">
        <f t="shared" si="2"/>
        <v/>
      </c>
      <c r="BB571" s="3"/>
      <c r="BC571" s="3"/>
      <c r="BD571" s="3"/>
      <c r="BE571" s="3"/>
      <c r="BF571" s="3"/>
      <c r="BG571" s="3"/>
      <c r="BH571" s="3"/>
      <c r="BI571" s="3"/>
    </row>
    <row r="572" spans="1:61" ht="12.95" customHeight="1">
      <c r="B572" s="52" t="s">
        <v>362</v>
      </c>
      <c r="C572" s="1377"/>
      <c r="D572" s="1377"/>
      <c r="E572" s="1377"/>
      <c r="F572" s="1377"/>
      <c r="G572" s="1377"/>
      <c r="H572" s="1377"/>
      <c r="I572" s="1377"/>
      <c r="J572" s="1377"/>
      <c r="K572" s="1377"/>
      <c r="L572" s="1377"/>
      <c r="M572" s="1376" t="s">
        <v>1184</v>
      </c>
      <c r="N572" s="1376"/>
      <c r="O572" s="1376"/>
      <c r="P572" s="1376"/>
      <c r="Q572" s="1373"/>
      <c r="R572" s="1374"/>
      <c r="S572" s="1375"/>
      <c r="T572" s="1373"/>
      <c r="U572" s="1374"/>
      <c r="V572" s="1375"/>
      <c r="W572" s="1378"/>
      <c r="X572" s="1379"/>
      <c r="Y572" s="1380"/>
      <c r="Z572" s="1332" t="s">
        <v>1184</v>
      </c>
      <c r="AA572" s="1332"/>
      <c r="AB572" s="1332"/>
      <c r="AC572" s="1332"/>
      <c r="AD572" s="1332"/>
      <c r="AE572" s="1364"/>
      <c r="AF572" s="1365"/>
      <c r="AG572" s="1365"/>
      <c r="AH572" s="1366"/>
      <c r="AI572" s="1413"/>
      <c r="AJ572" s="1414"/>
      <c r="AK572" s="1414"/>
      <c r="AL572" s="1415"/>
      <c r="AM572" s="1311"/>
      <c r="AN572" s="1312"/>
      <c r="AO572" s="1312"/>
      <c r="AP572" s="1312"/>
      <c r="AQ572" s="1312"/>
      <c r="AR572" s="1312"/>
      <c r="AS572" s="1313"/>
      <c r="AT572" s="1142" t="str">
        <f t="shared" si="2"/>
        <v/>
      </c>
      <c r="BB572" s="3"/>
      <c r="BC572" s="3"/>
      <c r="BD572" s="3"/>
      <c r="BE572" s="3"/>
      <c r="BF572" s="3"/>
      <c r="BG572" s="3"/>
      <c r="BH572" s="3"/>
      <c r="BI572" s="3"/>
    </row>
    <row r="573" spans="1:61" ht="12.95" customHeight="1">
      <c r="B573" s="52" t="s">
        <v>363</v>
      </c>
      <c r="C573" s="1377"/>
      <c r="D573" s="1377"/>
      <c r="E573" s="1377"/>
      <c r="F573" s="1377"/>
      <c r="G573" s="1377"/>
      <c r="H573" s="1377"/>
      <c r="I573" s="1377"/>
      <c r="J573" s="1377"/>
      <c r="K573" s="1377"/>
      <c r="L573" s="1377"/>
      <c r="M573" s="1376" t="s">
        <v>1184</v>
      </c>
      <c r="N573" s="1376"/>
      <c r="O573" s="1376"/>
      <c r="P573" s="1376"/>
      <c r="Q573" s="1373"/>
      <c r="R573" s="1374"/>
      <c r="S573" s="1375"/>
      <c r="T573" s="1373"/>
      <c r="U573" s="1374"/>
      <c r="V573" s="1375"/>
      <c r="W573" s="1378"/>
      <c r="X573" s="1379"/>
      <c r="Y573" s="1380"/>
      <c r="Z573" s="1332" t="s">
        <v>1184</v>
      </c>
      <c r="AA573" s="1332"/>
      <c r="AB573" s="1332"/>
      <c r="AC573" s="1332"/>
      <c r="AD573" s="1332"/>
      <c r="AE573" s="1364"/>
      <c r="AF573" s="1365"/>
      <c r="AG573" s="1365"/>
      <c r="AH573" s="1366"/>
      <c r="AI573" s="1413"/>
      <c r="AJ573" s="1414"/>
      <c r="AK573" s="1414"/>
      <c r="AL573" s="1415"/>
      <c r="AM573" s="1311"/>
      <c r="AN573" s="1312"/>
      <c r="AO573" s="1312"/>
      <c r="AP573" s="1312"/>
      <c r="AQ573" s="1312"/>
      <c r="AR573" s="1312"/>
      <c r="AS573" s="1313"/>
      <c r="AT573" s="1142" t="str">
        <f t="shared" si="2"/>
        <v/>
      </c>
      <c r="BB573" s="3"/>
      <c r="BC573" s="3"/>
      <c r="BD573" s="3"/>
      <c r="BE573" s="3"/>
      <c r="BF573" s="3"/>
      <c r="BG573" s="3"/>
      <c r="BH573" s="3"/>
      <c r="BI573" s="3"/>
    </row>
    <row r="574" spans="1:61" ht="12.95" customHeight="1">
      <c r="B574" s="1360" t="s">
        <v>127</v>
      </c>
      <c r="C574" s="1361"/>
      <c r="D574" s="1361"/>
      <c r="E574" s="1361"/>
      <c r="F574" s="1361"/>
      <c r="G574" s="1361"/>
      <c r="H574" s="1361"/>
      <c r="I574" s="1361"/>
      <c r="J574" s="1361"/>
      <c r="K574" s="1361"/>
      <c r="L574" s="1361"/>
      <c r="M574" s="1361"/>
      <c r="N574" s="1361"/>
      <c r="O574" s="1361"/>
      <c r="P574" s="1361"/>
      <c r="Q574" s="1361"/>
      <c r="R574" s="1361"/>
      <c r="S574" s="1361"/>
      <c r="T574" s="1361"/>
      <c r="U574" s="1362"/>
      <c r="V574" s="1361"/>
      <c r="W574" s="1361"/>
      <c r="X574" s="1361"/>
      <c r="Y574" s="1361"/>
      <c r="Z574" s="1361"/>
      <c r="AA574" s="1361"/>
      <c r="AB574" s="1361"/>
      <c r="AC574" s="1361"/>
      <c r="AD574" s="1361"/>
      <c r="AE574" s="1361"/>
      <c r="AF574" s="1361"/>
      <c r="AG574" s="1361"/>
      <c r="AH574" s="1361"/>
      <c r="AI574" s="1361"/>
      <c r="AJ574" s="1361"/>
      <c r="AK574" s="1361"/>
      <c r="AL574" s="1363"/>
      <c r="AM574" s="1417">
        <f>SUM(AM562:AS573)</f>
        <v>34183137</v>
      </c>
      <c r="AN574" s="1418"/>
      <c r="AO574" s="1418"/>
      <c r="AP574" s="1418"/>
      <c r="AQ574" s="1418"/>
      <c r="AR574" s="1418"/>
      <c r="AS574" s="1419"/>
      <c r="BB574" s="3"/>
      <c r="BC574" s="3"/>
      <c r="BD574" s="3"/>
      <c r="BE574" s="3"/>
      <c r="BF574" s="3"/>
      <c r="BG574" s="3"/>
      <c r="BH574" s="3" t="s">
        <v>455</v>
      </c>
      <c r="BI574" s="3" t="str">
        <f>N681</f>
        <v>No</v>
      </c>
    </row>
    <row r="575" spans="1:61" ht="12.95" customHeight="1">
      <c r="B575" s="56"/>
      <c r="C575" s="56"/>
      <c r="D575" s="56"/>
      <c r="E575" s="56"/>
      <c r="F575" s="56"/>
      <c r="G575" s="56"/>
      <c r="H575" s="56"/>
      <c r="I575" s="56"/>
      <c r="J575" s="56"/>
      <c r="K575" s="56"/>
      <c r="L575" s="56"/>
      <c r="M575" s="56"/>
      <c r="N575" s="56"/>
      <c r="O575" s="56"/>
      <c r="P575" s="56"/>
      <c r="Q575" s="56"/>
      <c r="R575" s="56"/>
      <c r="S575" s="56"/>
      <c r="T575" s="56"/>
      <c r="U575" s="56"/>
      <c r="V575" s="56"/>
      <c r="W575" s="56"/>
      <c r="X575" s="56"/>
      <c r="Y575" s="56"/>
      <c r="Z575" s="56"/>
      <c r="AA575" s="56"/>
      <c r="AB575" s="56"/>
      <c r="AC575" s="56"/>
      <c r="AD575" s="56"/>
      <c r="AE575" s="123"/>
      <c r="AF575" s="123"/>
      <c r="AG575" s="123"/>
      <c r="AH575" s="123"/>
      <c r="AI575" s="123"/>
      <c r="AJ575" s="123"/>
      <c r="AK575" s="123"/>
      <c r="BB575" s="3"/>
      <c r="BC575" s="3"/>
      <c r="BD575" s="3"/>
      <c r="BE575" s="3"/>
      <c r="BF575" s="3"/>
      <c r="BG575" s="3"/>
      <c r="BH575" s="3" t="s">
        <v>456</v>
      </c>
      <c r="BI575" s="3" t="str">
        <f>AG681</f>
        <v>No</v>
      </c>
    </row>
    <row r="576" spans="1:61" ht="12.95" customHeight="1">
      <c r="A576" s="55" t="s">
        <v>112</v>
      </c>
      <c r="B576" t="s">
        <v>463</v>
      </c>
      <c r="G576" s="1314" t="str">
        <f>C562</f>
        <v>Citi Bank Tax Exempt Loan</v>
      </c>
      <c r="H576" s="1314"/>
      <c r="I576" s="1314"/>
      <c r="J576" s="1314"/>
      <c r="K576" s="1314"/>
      <c r="L576" s="1314"/>
      <c r="M576" s="1314"/>
      <c r="N576" s="1314"/>
      <c r="O576" s="1314"/>
      <c r="P576" s="1314"/>
      <c r="Q576" s="1314"/>
      <c r="R576" s="1314"/>
      <c r="S576" s="8"/>
      <c r="T576" s="55" t="s">
        <v>113</v>
      </c>
      <c r="U576" t="s">
        <v>463</v>
      </c>
      <c r="Z576" s="1314" t="str">
        <f>C563</f>
        <v>Citi Bank Taxable Loan</v>
      </c>
      <c r="AA576" s="1314"/>
      <c r="AB576" s="1314"/>
      <c r="AC576" s="1314"/>
      <c r="AD576" s="1314"/>
      <c r="AE576" s="1314"/>
      <c r="AF576" s="1314"/>
      <c r="AG576" s="1314"/>
      <c r="AH576" s="1314"/>
      <c r="AI576" s="1314"/>
      <c r="AJ576" s="1314"/>
      <c r="AK576" s="1314"/>
      <c r="BB576" s="3"/>
      <c r="BC576" s="3"/>
      <c r="BD576" s="3"/>
      <c r="BE576" s="3"/>
      <c r="BF576" s="3"/>
      <c r="BG576" s="3"/>
      <c r="BH576" s="3"/>
      <c r="BI576" s="3"/>
    </row>
    <row r="577" spans="1:61" ht="12.95" customHeight="1">
      <c r="A577" s="22"/>
      <c r="B577" t="s">
        <v>85</v>
      </c>
      <c r="G577" s="1358" t="s">
        <v>2732</v>
      </c>
      <c r="H577" s="1359"/>
      <c r="I577" s="1359"/>
      <c r="J577" s="1359"/>
      <c r="K577" s="1359"/>
      <c r="L577" s="1359"/>
      <c r="M577" s="1359"/>
      <c r="N577" s="1359"/>
      <c r="O577" s="1359"/>
      <c r="P577" s="1359"/>
      <c r="Q577" s="1359"/>
      <c r="R577" s="1359"/>
      <c r="S577" s="8"/>
      <c r="T577" s="22"/>
      <c r="U577" t="s">
        <v>85</v>
      </c>
      <c r="Z577" s="1358" t="s">
        <v>2732</v>
      </c>
      <c r="AA577" s="1359"/>
      <c r="AB577" s="1359"/>
      <c r="AC577" s="1359"/>
      <c r="AD577" s="1359"/>
      <c r="AE577" s="1359"/>
      <c r="AF577" s="1359"/>
      <c r="AG577" s="1359"/>
      <c r="AH577" s="1359"/>
      <c r="AI577" s="1359"/>
      <c r="AJ577" s="1359"/>
      <c r="AK577" s="1359"/>
      <c r="BB577" s="3"/>
      <c r="BC577" s="3"/>
      <c r="BD577" s="3"/>
      <c r="BE577" s="3"/>
      <c r="BF577" s="3"/>
      <c r="BG577" s="3"/>
      <c r="BH577" s="3"/>
      <c r="BI577" s="3"/>
    </row>
    <row r="578" spans="1:61" ht="12.95" customHeight="1">
      <c r="A578" s="22"/>
      <c r="B578" t="s">
        <v>580</v>
      </c>
      <c r="G578" s="1358" t="s">
        <v>2733</v>
      </c>
      <c r="H578" s="1359"/>
      <c r="I578" s="1359"/>
      <c r="J578" s="1359"/>
      <c r="K578" s="1359"/>
      <c r="L578" s="1359"/>
      <c r="M578" s="1359"/>
      <c r="N578" s="1359"/>
      <c r="O578" s="1359"/>
      <c r="P578" s="1359"/>
      <c r="Q578" s="1359"/>
      <c r="R578" s="1359"/>
      <c r="T578" s="22"/>
      <c r="U578" t="s">
        <v>580</v>
      </c>
      <c r="Z578" s="1441" t="s">
        <v>2733</v>
      </c>
      <c r="AA578" s="1399"/>
      <c r="AB578" s="1399"/>
      <c r="AC578" s="1399"/>
      <c r="AD578" s="1399"/>
      <c r="AE578" s="1399"/>
      <c r="AF578" s="1399"/>
      <c r="AG578" s="1399"/>
      <c r="AH578" s="1399"/>
      <c r="AI578" s="1399"/>
      <c r="AJ578" s="1399"/>
      <c r="AK578" s="1399"/>
      <c r="BB578" s="3"/>
      <c r="BC578" s="3"/>
      <c r="BD578" s="3"/>
      <c r="BE578" s="3"/>
      <c r="BF578" s="3"/>
      <c r="BG578" s="3"/>
      <c r="BH578" s="3"/>
      <c r="BI578" s="3"/>
    </row>
    <row r="579" spans="1:61" ht="12.95" customHeight="1">
      <c r="A579" s="22"/>
      <c r="B579" t="s">
        <v>17</v>
      </c>
      <c r="G579" s="1358" t="s">
        <v>2734</v>
      </c>
      <c r="H579" s="1359"/>
      <c r="I579" s="1359"/>
      <c r="J579" s="1359"/>
      <c r="K579" s="1359"/>
      <c r="L579" s="1359"/>
      <c r="M579" s="1359"/>
      <c r="N579" s="1359"/>
      <c r="O579" s="1359"/>
      <c r="P579" s="1359"/>
      <c r="Q579" s="1359"/>
      <c r="R579" s="1359"/>
      <c r="S579" s="8"/>
      <c r="T579" s="22"/>
      <c r="U579" t="s">
        <v>17</v>
      </c>
      <c r="Z579" s="1441" t="s">
        <v>2734</v>
      </c>
      <c r="AA579" s="1399"/>
      <c r="AB579" s="1399"/>
      <c r="AC579" s="1399"/>
      <c r="AD579" s="1399"/>
      <c r="AE579" s="1399"/>
      <c r="AF579" s="1399"/>
      <c r="AG579" s="1399"/>
      <c r="AH579" s="1399"/>
      <c r="AI579" s="1399"/>
      <c r="AJ579" s="1399"/>
      <c r="AK579" s="1399"/>
      <c r="BB579" s="3"/>
      <c r="BC579" s="3"/>
      <c r="BD579" s="3"/>
      <c r="BE579" s="3"/>
      <c r="BF579" s="3"/>
      <c r="BG579" s="3"/>
      <c r="BH579" s="3"/>
      <c r="BI579" s="3"/>
    </row>
    <row r="580" spans="1:61" ht="12.95" customHeight="1">
      <c r="A580" s="22"/>
      <c r="B580" t="s">
        <v>316</v>
      </c>
      <c r="G580" s="1328" t="s">
        <v>2735</v>
      </c>
      <c r="H580" s="1329"/>
      <c r="I580" s="1329"/>
      <c r="J580" s="1329"/>
      <c r="K580" s="1329"/>
      <c r="L580" s="1329"/>
      <c r="O580" s="33" t="s">
        <v>206</v>
      </c>
      <c r="P580" s="1416"/>
      <c r="Q580" s="1416"/>
      <c r="R580" s="1416"/>
      <c r="S580" s="10"/>
      <c r="T580" s="22"/>
      <c r="U580" t="s">
        <v>316</v>
      </c>
      <c r="Z580" s="1328" t="s">
        <v>2735</v>
      </c>
      <c r="AA580" s="1329"/>
      <c r="AB580" s="1329"/>
      <c r="AC580" s="1329"/>
      <c r="AD580" s="1329"/>
      <c r="AE580" s="1329"/>
      <c r="AH580" s="33" t="s">
        <v>206</v>
      </c>
      <c r="AI580" s="1416"/>
      <c r="AJ580" s="1416"/>
      <c r="AK580" s="1416"/>
      <c r="BB580" s="3"/>
      <c r="BC580" s="3"/>
      <c r="BD580" s="3"/>
      <c r="BE580" s="3"/>
      <c r="BF580" s="3"/>
      <c r="BG580" s="3"/>
      <c r="BH580" s="3"/>
      <c r="BI580" s="3"/>
    </row>
    <row r="581" spans="1:61" ht="12.95" customHeight="1">
      <c r="A581" s="22"/>
      <c r="B581" t="s">
        <v>18</v>
      </c>
      <c r="H581" s="1358" t="s">
        <v>2736</v>
      </c>
      <c r="I581" s="1359"/>
      <c r="J581" s="1359"/>
      <c r="K581" s="1359"/>
      <c r="L581" s="1359"/>
      <c r="M581" s="1359"/>
      <c r="N581" s="1359"/>
      <c r="O581" s="1359"/>
      <c r="P581" s="1359"/>
      <c r="Q581" s="1359"/>
      <c r="R581" s="1359"/>
      <c r="S581" s="8"/>
      <c r="T581" s="22"/>
      <c r="U581" t="s">
        <v>18</v>
      </c>
      <c r="AA581" s="1358" t="s">
        <v>2736</v>
      </c>
      <c r="AB581" s="1359"/>
      <c r="AC581" s="1359"/>
      <c r="AD581" s="1359"/>
      <c r="AE581" s="1359"/>
      <c r="AF581" s="1359"/>
      <c r="AG581" s="1359"/>
      <c r="AH581" s="1359"/>
      <c r="AI581" s="1359"/>
      <c r="AJ581" s="1359"/>
      <c r="AK581" s="1359"/>
      <c r="BB581" s="3"/>
      <c r="BC581" s="3"/>
      <c r="BD581" s="3"/>
      <c r="BE581" s="3"/>
      <c r="BF581" s="3"/>
      <c r="BG581" s="3"/>
      <c r="BH581" s="3"/>
      <c r="BI581" s="3"/>
    </row>
    <row r="582" spans="1:61" ht="12.95" customHeight="1">
      <c r="A582" s="22"/>
      <c r="B582" s="320" t="s">
        <v>1185</v>
      </c>
      <c r="H582" s="8"/>
      <c r="I582" s="8"/>
      <c r="J582" s="8"/>
      <c r="K582" s="8"/>
      <c r="L582" s="8"/>
      <c r="M582" s="1513"/>
      <c r="N582" s="1513"/>
      <c r="O582" s="1513"/>
      <c r="P582" s="1513"/>
      <c r="Q582" s="1513"/>
      <c r="R582" s="1513"/>
      <c r="S582" s="8"/>
      <c r="T582" s="22"/>
      <c r="U582" s="320" t="s">
        <v>1185</v>
      </c>
      <c r="AA582" s="8"/>
      <c r="AB582" s="8"/>
      <c r="AC582" s="8"/>
      <c r="AD582" s="8"/>
      <c r="AE582" s="8"/>
      <c r="AF582" s="1513"/>
      <c r="AG582" s="1513"/>
      <c r="AH582" s="1513"/>
      <c r="AI582" s="1513"/>
      <c r="AJ582" s="1513"/>
      <c r="AK582" s="1513"/>
      <c r="BB582" s="3"/>
      <c r="BC582" s="3"/>
      <c r="BD582" s="3"/>
      <c r="BE582" s="3"/>
      <c r="BF582" s="3"/>
      <c r="BG582" s="3"/>
      <c r="BH582" s="3"/>
      <c r="BI582" s="3"/>
    </row>
    <row r="583" spans="1:61" ht="12.95" customHeight="1">
      <c r="A583" s="22"/>
      <c r="B583" t="s">
        <v>20</v>
      </c>
      <c r="N583" s="1324" t="s">
        <v>545</v>
      </c>
      <c r="O583" s="1324"/>
      <c r="T583" s="22"/>
      <c r="U583" t="s">
        <v>20</v>
      </c>
      <c r="AG583" s="1324" t="s">
        <v>545</v>
      </c>
      <c r="AH583" s="1324"/>
      <c r="BB583" s="3"/>
      <c r="BC583" s="3"/>
      <c r="BD583" s="3"/>
      <c r="BE583" s="3"/>
      <c r="BF583" s="3"/>
      <c r="BG583" s="3"/>
      <c r="BH583" s="3"/>
      <c r="BI583" s="3"/>
    </row>
    <row r="584" spans="1:61" ht="12.95" customHeight="1">
      <c r="A584" s="22"/>
      <c r="T584" s="22"/>
      <c r="BB584" s="3"/>
      <c r="BC584" s="3"/>
      <c r="BD584" s="3"/>
      <c r="BE584" s="3"/>
      <c r="BF584" s="3"/>
      <c r="BG584" s="3"/>
      <c r="BH584" s="3"/>
      <c r="BI584" s="3"/>
    </row>
    <row r="585" spans="1:61" ht="12.95" customHeight="1">
      <c r="A585" s="55" t="s">
        <v>119</v>
      </c>
      <c r="B585" t="s">
        <v>463</v>
      </c>
      <c r="G585" s="1314" t="str">
        <f>C564</f>
        <v>GC Loan</v>
      </c>
      <c r="H585" s="1314"/>
      <c r="I585" s="1314"/>
      <c r="J585" s="1314"/>
      <c r="K585" s="1314"/>
      <c r="L585" s="1314"/>
      <c r="M585" s="1314"/>
      <c r="N585" s="1314"/>
      <c r="O585" s="1314"/>
      <c r="P585" s="1314"/>
      <c r="Q585" s="1314"/>
      <c r="R585" s="1314"/>
      <c r="T585" s="55" t="s">
        <v>581</v>
      </c>
      <c r="U585" t="s">
        <v>463</v>
      </c>
      <c r="Z585" s="1314" t="str">
        <f>C565</f>
        <v>Boston Financial Tax Credit Equity</v>
      </c>
      <c r="AA585" s="1314"/>
      <c r="AB585" s="1314"/>
      <c r="AC585" s="1314"/>
      <c r="AD585" s="1314"/>
      <c r="AE585" s="1314"/>
      <c r="AF585" s="1314"/>
      <c r="AG585" s="1314"/>
      <c r="AH585" s="1314"/>
      <c r="AI585" s="1314"/>
      <c r="AJ585" s="1314"/>
      <c r="AK585" s="1314"/>
      <c r="BB585" s="3"/>
      <c r="BC585" s="3"/>
    </row>
    <row r="586" spans="1:61" ht="12.95" customHeight="1">
      <c r="A586" s="22"/>
      <c r="B586" t="s">
        <v>85</v>
      </c>
      <c r="G586" s="1358" t="s">
        <v>2647</v>
      </c>
      <c r="H586" s="1359"/>
      <c r="I586" s="1359"/>
      <c r="J586" s="1359"/>
      <c r="K586" s="1359"/>
      <c r="L586" s="1359"/>
      <c r="M586" s="1359"/>
      <c r="N586" s="1359"/>
      <c r="O586" s="1359"/>
      <c r="P586" s="1359"/>
      <c r="Q586" s="1359"/>
      <c r="R586" s="1359"/>
      <c r="T586" s="22"/>
      <c r="U586" t="s">
        <v>85</v>
      </c>
      <c r="Z586" s="1358" t="s">
        <v>2704</v>
      </c>
      <c r="AA586" s="1359"/>
      <c r="AB586" s="1359"/>
      <c r="AC586" s="1359"/>
      <c r="AD586" s="1359"/>
      <c r="AE586" s="1359"/>
      <c r="AF586" s="1359"/>
      <c r="AG586" s="1359"/>
      <c r="AH586" s="1359"/>
      <c r="AI586" s="1359"/>
      <c r="AJ586" s="1359"/>
      <c r="AK586" s="1359"/>
      <c r="BB586" s="3"/>
      <c r="BC586" s="3"/>
    </row>
    <row r="587" spans="1:61" ht="12.95" customHeight="1">
      <c r="A587" s="22"/>
      <c r="B587" t="s">
        <v>580</v>
      </c>
      <c r="G587" s="1441" t="s">
        <v>2677</v>
      </c>
      <c r="H587" s="1399"/>
      <c r="I587" s="1399"/>
      <c r="J587" s="1399"/>
      <c r="K587" s="1399"/>
      <c r="L587" s="1399"/>
      <c r="M587" s="1399"/>
      <c r="N587" s="1399"/>
      <c r="O587" s="1399"/>
      <c r="P587" s="1399"/>
      <c r="Q587" s="1399"/>
      <c r="R587" s="1399"/>
      <c r="T587" s="22"/>
      <c r="U587" t="s">
        <v>580</v>
      </c>
      <c r="Z587" s="1441" t="s">
        <v>2705</v>
      </c>
      <c r="AA587" s="1399"/>
      <c r="AB587" s="1399"/>
      <c r="AC587" s="1399"/>
      <c r="AD587" s="1399"/>
      <c r="AE587" s="1399"/>
      <c r="AF587" s="1399"/>
      <c r="AG587" s="1399"/>
      <c r="AH587" s="1399"/>
      <c r="AI587" s="1399"/>
      <c r="AJ587" s="1399"/>
      <c r="AK587" s="1399"/>
      <c r="BB587" s="3"/>
      <c r="BC587" s="3"/>
    </row>
    <row r="588" spans="1:61" ht="12.95" customHeight="1">
      <c r="A588" s="22"/>
      <c r="B588" t="s">
        <v>17</v>
      </c>
      <c r="G588" s="1441" t="s">
        <v>2663</v>
      </c>
      <c r="H588" s="1399"/>
      <c r="I588" s="1399"/>
      <c r="J588" s="1399"/>
      <c r="K588" s="1399"/>
      <c r="L588" s="1399"/>
      <c r="M588" s="1399"/>
      <c r="N588" s="1399"/>
      <c r="O588" s="1399"/>
      <c r="P588" s="1399"/>
      <c r="Q588" s="1399"/>
      <c r="R588" s="1399"/>
      <c r="T588" s="22"/>
      <c r="U588" t="s">
        <v>17</v>
      </c>
      <c r="Z588" s="1441" t="s">
        <v>2742</v>
      </c>
      <c r="AA588" s="1399"/>
      <c r="AB588" s="1399"/>
      <c r="AC588" s="1399"/>
      <c r="AD588" s="1399"/>
      <c r="AE588" s="1399"/>
      <c r="AF588" s="1399"/>
      <c r="AG588" s="1399"/>
      <c r="AH588" s="1399"/>
      <c r="AI588" s="1399"/>
      <c r="AJ588" s="1399"/>
      <c r="AK588" s="1399"/>
      <c r="BB588" s="3"/>
      <c r="BC588" s="3"/>
    </row>
    <row r="589" spans="1:61" ht="12.95" customHeight="1">
      <c r="A589" s="22"/>
      <c r="B589" t="s">
        <v>316</v>
      </c>
      <c r="G589" s="1328" t="s">
        <v>2664</v>
      </c>
      <c r="H589" s="1329"/>
      <c r="I589" s="1329"/>
      <c r="J589" s="1329"/>
      <c r="K589" s="1329"/>
      <c r="L589" s="1329"/>
      <c r="O589" s="33" t="s">
        <v>206</v>
      </c>
      <c r="P589" s="1416"/>
      <c r="Q589" s="1416"/>
      <c r="R589" s="1416"/>
      <c r="T589" s="22"/>
      <c r="U589" t="s">
        <v>316</v>
      </c>
      <c r="Z589" s="1328" t="s">
        <v>2707</v>
      </c>
      <c r="AA589" s="1329"/>
      <c r="AB589" s="1329"/>
      <c r="AC589" s="1329"/>
      <c r="AD589" s="1329"/>
      <c r="AE589" s="1329"/>
      <c r="AH589" s="33" t="s">
        <v>206</v>
      </c>
      <c r="AI589" s="1416"/>
      <c r="AJ589" s="1416"/>
      <c r="AK589" s="1416"/>
      <c r="BB589" s="3"/>
      <c r="BC589" s="3"/>
    </row>
    <row r="590" spans="1:61" ht="12.95" customHeight="1">
      <c r="A590" s="22"/>
      <c r="B590" t="s">
        <v>18</v>
      </c>
      <c r="H590" s="1358" t="s">
        <v>2741</v>
      </c>
      <c r="I590" s="1359"/>
      <c r="J590" s="1359"/>
      <c r="K590" s="1359"/>
      <c r="L590" s="1359"/>
      <c r="M590" s="1359"/>
      <c r="N590" s="1359"/>
      <c r="O590" s="1359"/>
      <c r="P590" s="1359"/>
      <c r="Q590" s="1359"/>
      <c r="R590" s="1359"/>
      <c r="T590" s="22"/>
      <c r="U590" t="s">
        <v>18</v>
      </c>
      <c r="AA590" s="1358" t="s">
        <v>2743</v>
      </c>
      <c r="AB590" s="1359"/>
      <c r="AC590" s="1359"/>
      <c r="AD590" s="1359"/>
      <c r="AE590" s="1359"/>
      <c r="AF590" s="1359"/>
      <c r="AG590" s="1359"/>
      <c r="AH590" s="1359"/>
      <c r="AI590" s="1359"/>
      <c r="AJ590" s="1359"/>
      <c r="AK590" s="1359"/>
      <c r="BB590" s="3"/>
      <c r="BC590" s="3"/>
    </row>
    <row r="591" spans="1:61" ht="12.95" customHeight="1">
      <c r="A591" s="22"/>
      <c r="B591" t="s">
        <v>20</v>
      </c>
      <c r="N591" s="1324" t="s">
        <v>545</v>
      </c>
      <c r="O591" s="1324"/>
      <c r="T591" s="22"/>
      <c r="U591" t="s">
        <v>20</v>
      </c>
      <c r="AG591" s="1324" t="s">
        <v>545</v>
      </c>
      <c r="AH591" s="1324"/>
      <c r="BB591" s="3"/>
      <c r="BC591" s="3"/>
    </row>
    <row r="592" spans="1:61" ht="12.95" customHeight="1">
      <c r="A592" s="22"/>
      <c r="T592" s="22"/>
      <c r="BB592" s="3"/>
      <c r="BC592" s="3"/>
    </row>
    <row r="593" spans="1:55" ht="12.95" customHeight="1">
      <c r="A593" s="55" t="s">
        <v>763</v>
      </c>
      <c r="B593" t="s">
        <v>463</v>
      </c>
      <c r="G593" s="1314">
        <f>C566</f>
        <v>0</v>
      </c>
      <c r="H593" s="1314"/>
      <c r="I593" s="1314"/>
      <c r="J593" s="1314"/>
      <c r="K593" s="1314"/>
      <c r="L593" s="1314"/>
      <c r="M593" s="1314"/>
      <c r="N593" s="1314"/>
      <c r="O593" s="1314"/>
      <c r="P593" s="1314"/>
      <c r="Q593" s="1314"/>
      <c r="R593" s="1314"/>
      <c r="T593" s="55" t="s">
        <v>584</v>
      </c>
      <c r="U593" t="s">
        <v>463</v>
      </c>
      <c r="Z593" s="1314">
        <f>C567</f>
        <v>0</v>
      </c>
      <c r="AA593" s="1314"/>
      <c r="AB593" s="1314"/>
      <c r="AC593" s="1314"/>
      <c r="AD593" s="1314"/>
      <c r="AE593" s="1314"/>
      <c r="AF593" s="1314"/>
      <c r="AG593" s="1314"/>
      <c r="AH593" s="1314"/>
      <c r="AI593" s="1314"/>
      <c r="AJ593" s="1314"/>
      <c r="AK593" s="1314"/>
      <c r="BB593" s="3"/>
      <c r="BC593" s="3"/>
    </row>
    <row r="594" spans="1:55" ht="12.95" customHeight="1">
      <c r="A594" s="22"/>
      <c r="B594" t="s">
        <v>85</v>
      </c>
      <c r="G594" s="1359"/>
      <c r="H594" s="1359"/>
      <c r="I594" s="1359"/>
      <c r="J594" s="1359"/>
      <c r="K594" s="1359"/>
      <c r="L594" s="1359"/>
      <c r="M594" s="1359"/>
      <c r="N594" s="1359"/>
      <c r="O594" s="1359"/>
      <c r="P594" s="1359"/>
      <c r="Q594" s="1359"/>
      <c r="R594" s="1359"/>
      <c r="T594" s="22"/>
      <c r="U594" t="s">
        <v>85</v>
      </c>
      <c r="Z594" s="1359"/>
      <c r="AA594" s="1359"/>
      <c r="AB594" s="1359"/>
      <c r="AC594" s="1359"/>
      <c r="AD594" s="1359"/>
      <c r="AE594" s="1359"/>
      <c r="AF594" s="1359"/>
      <c r="AG594" s="1359"/>
      <c r="AH594" s="1359"/>
      <c r="AI594" s="1359"/>
      <c r="AJ594" s="1359"/>
      <c r="AK594" s="1359"/>
      <c r="BB594" s="3"/>
      <c r="BC594" s="3"/>
    </row>
    <row r="595" spans="1:55" ht="12.95" customHeight="1">
      <c r="A595" s="22"/>
      <c r="B595" t="s">
        <v>580</v>
      </c>
      <c r="G595" s="1359"/>
      <c r="H595" s="1359"/>
      <c r="I595" s="1359"/>
      <c r="J595" s="1359"/>
      <c r="K595" s="1359"/>
      <c r="L595" s="1359"/>
      <c r="M595" s="1359"/>
      <c r="N595" s="1359"/>
      <c r="O595" s="1359"/>
      <c r="P595" s="1359"/>
      <c r="Q595" s="1359"/>
      <c r="R595" s="1359"/>
      <c r="T595" s="22"/>
      <c r="U595" t="s">
        <v>580</v>
      </c>
      <c r="Z595" s="1399"/>
      <c r="AA595" s="1399"/>
      <c r="AB595" s="1399"/>
      <c r="AC595" s="1399"/>
      <c r="AD595" s="1399"/>
      <c r="AE595" s="1399"/>
      <c r="AF595" s="1399"/>
      <c r="AG595" s="1399"/>
      <c r="AH595" s="1399"/>
      <c r="AI595" s="1399"/>
      <c r="AJ595" s="1399"/>
      <c r="AK595" s="1399"/>
      <c r="BB595" s="3"/>
      <c r="BC595" s="3"/>
    </row>
    <row r="596" spans="1:55" ht="12.95" customHeight="1">
      <c r="A596" s="22"/>
      <c r="B596" t="s">
        <v>17</v>
      </c>
      <c r="G596" s="1359"/>
      <c r="H596" s="1359"/>
      <c r="I596" s="1359"/>
      <c r="J596" s="1359"/>
      <c r="K596" s="1359"/>
      <c r="L596" s="1359"/>
      <c r="M596" s="1359"/>
      <c r="N596" s="1359"/>
      <c r="O596" s="1359"/>
      <c r="P596" s="1359"/>
      <c r="Q596" s="1359"/>
      <c r="R596" s="1359"/>
      <c r="T596" s="22"/>
      <c r="U596" t="s">
        <v>17</v>
      </c>
      <c r="Z596" s="1399"/>
      <c r="AA596" s="1399"/>
      <c r="AB596" s="1399"/>
      <c r="AC596" s="1399"/>
      <c r="AD596" s="1399"/>
      <c r="AE596" s="1399"/>
      <c r="AF596" s="1399"/>
      <c r="AG596" s="1399"/>
      <c r="AH596" s="1399"/>
      <c r="AI596" s="1399"/>
      <c r="AJ596" s="1399"/>
      <c r="AK596" s="1399"/>
    </row>
    <row r="597" spans="1:55" ht="12.95" customHeight="1">
      <c r="A597" s="22"/>
      <c r="B597" t="s">
        <v>316</v>
      </c>
      <c r="G597" s="1329"/>
      <c r="H597" s="1329"/>
      <c r="I597" s="1329"/>
      <c r="J597" s="1329"/>
      <c r="K597" s="1329"/>
      <c r="L597" s="1329"/>
      <c r="O597" s="33" t="s">
        <v>206</v>
      </c>
      <c r="P597" s="1416"/>
      <c r="Q597" s="1416"/>
      <c r="R597" s="1416"/>
      <c r="T597" s="22"/>
      <c r="U597" t="s">
        <v>316</v>
      </c>
      <c r="Z597" s="1329"/>
      <c r="AA597" s="1329"/>
      <c r="AB597" s="1329"/>
      <c r="AC597" s="1329"/>
      <c r="AD597" s="1329"/>
      <c r="AE597" s="1329"/>
      <c r="AH597" s="33" t="s">
        <v>206</v>
      </c>
      <c r="AI597" s="1416"/>
      <c r="AJ597" s="1416"/>
      <c r="AK597" s="1416"/>
      <c r="AZ597" s="3"/>
      <c r="BA597" s="3"/>
      <c r="BB597" s="3"/>
      <c r="BC597" s="3"/>
    </row>
    <row r="598" spans="1:55" ht="12.95" customHeight="1">
      <c r="A598" s="22"/>
      <c r="B598" t="s">
        <v>18</v>
      </c>
      <c r="H598" s="1359"/>
      <c r="I598" s="1359"/>
      <c r="J598" s="1359"/>
      <c r="K598" s="1359"/>
      <c r="L598" s="1359"/>
      <c r="M598" s="1359"/>
      <c r="N598" s="1359"/>
      <c r="O598" s="1359"/>
      <c r="P598" s="1359"/>
      <c r="Q598" s="1359"/>
      <c r="R598" s="1359"/>
      <c r="T598" s="22"/>
      <c r="U598" t="s">
        <v>18</v>
      </c>
      <c r="AA598" s="1359"/>
      <c r="AB598" s="1359"/>
      <c r="AC598" s="1359"/>
      <c r="AD598" s="1359"/>
      <c r="AE598" s="1359"/>
      <c r="AF598" s="1359"/>
      <c r="AG598" s="1359"/>
      <c r="AH598" s="1359"/>
      <c r="AI598" s="1359"/>
      <c r="AJ598" s="1359"/>
      <c r="AK598" s="1359"/>
      <c r="AZ598" s="3"/>
      <c r="BA598" s="3"/>
      <c r="BB598" s="3"/>
      <c r="BC598" s="3"/>
    </row>
    <row r="599" spans="1:55" ht="12.95" customHeight="1">
      <c r="A599" s="22"/>
      <c r="B599" t="s">
        <v>20</v>
      </c>
      <c r="N599" s="1324" t="s">
        <v>669</v>
      </c>
      <c r="O599" s="1324"/>
      <c r="T599" s="22"/>
      <c r="U599" t="s">
        <v>20</v>
      </c>
      <c r="AG599" s="1324" t="s">
        <v>669</v>
      </c>
      <c r="AH599" s="1324"/>
      <c r="AZ599" s="3"/>
      <c r="BA599" s="3"/>
      <c r="BB599" s="3"/>
      <c r="BC599" s="3"/>
    </row>
    <row r="600" spans="1:55" ht="12.95" customHeight="1">
      <c r="A600" s="22"/>
      <c r="T600" s="22"/>
      <c r="AZ600" s="3"/>
      <c r="BA600" s="3"/>
      <c r="BB600" s="3"/>
      <c r="BC600" s="3"/>
    </row>
    <row r="601" spans="1:55" ht="12.95" customHeight="1">
      <c r="A601" s="55" t="s">
        <v>455</v>
      </c>
      <c r="B601" t="s">
        <v>463</v>
      </c>
      <c r="G601" s="1314">
        <f>C568</f>
        <v>0</v>
      </c>
      <c r="H601" s="1314"/>
      <c r="I601" s="1314"/>
      <c r="J601" s="1314"/>
      <c r="K601" s="1314"/>
      <c r="L601" s="1314"/>
      <c r="M601" s="1314"/>
      <c r="N601" s="1314"/>
      <c r="O601" s="1314"/>
      <c r="P601" s="1314"/>
      <c r="Q601" s="1314"/>
      <c r="R601" s="1314"/>
      <c r="T601" s="55" t="s">
        <v>456</v>
      </c>
      <c r="U601" t="s">
        <v>463</v>
      </c>
      <c r="Z601" s="1314">
        <f>C569</f>
        <v>0</v>
      </c>
      <c r="AA601" s="1314"/>
      <c r="AB601" s="1314"/>
      <c r="AC601" s="1314"/>
      <c r="AD601" s="1314"/>
      <c r="AE601" s="1314"/>
      <c r="AF601" s="1314"/>
      <c r="AG601" s="1314"/>
      <c r="AH601" s="1314"/>
      <c r="AI601" s="1314"/>
      <c r="AJ601" s="1314"/>
      <c r="AK601" s="1314"/>
      <c r="AZ601" s="3"/>
      <c r="BA601" s="3"/>
      <c r="BB601" s="3"/>
      <c r="BC601" s="3"/>
    </row>
    <row r="602" spans="1:55" s="4" customFormat="1" ht="12.95" customHeight="1">
      <c r="A602" s="22"/>
      <c r="B602" t="s">
        <v>85</v>
      </c>
      <c r="C602"/>
      <c r="D602"/>
      <c r="E602"/>
      <c r="F602"/>
      <c r="G602" s="1359"/>
      <c r="H602" s="1359"/>
      <c r="I602" s="1359"/>
      <c r="J602" s="1359"/>
      <c r="K602" s="1359"/>
      <c r="L602" s="1359"/>
      <c r="M602" s="1359"/>
      <c r="N602" s="1359"/>
      <c r="O602" s="1359"/>
      <c r="P602" s="1359"/>
      <c r="Q602" s="1359"/>
      <c r="R602" s="1359"/>
      <c r="S602"/>
      <c r="T602" s="22"/>
      <c r="U602" t="s">
        <v>85</v>
      </c>
      <c r="V602"/>
      <c r="W602"/>
      <c r="X602"/>
      <c r="Y602"/>
      <c r="Z602" s="1359"/>
      <c r="AA602" s="1359"/>
      <c r="AB602" s="1359"/>
      <c r="AC602" s="1359"/>
      <c r="AD602" s="1359"/>
      <c r="AE602" s="1359"/>
      <c r="AF602" s="1359"/>
      <c r="AG602" s="1359"/>
      <c r="AH602" s="1359"/>
      <c r="AI602" s="1359"/>
      <c r="AJ602" s="1359"/>
      <c r="AK602" s="1359"/>
      <c r="AL602"/>
      <c r="AM602"/>
      <c r="AN602"/>
      <c r="AO602"/>
      <c r="AP602"/>
      <c r="AQ602"/>
      <c r="AR602"/>
      <c r="AS602"/>
      <c r="AT602"/>
      <c r="AU602"/>
      <c r="AV602"/>
      <c r="AW602"/>
      <c r="AX602"/>
      <c r="AY602"/>
      <c r="AZ602" s="3"/>
      <c r="BA602" s="3"/>
      <c r="BB602" s="3"/>
      <c r="BC602" s="3"/>
    </row>
    <row r="603" spans="1:55" s="4" customFormat="1" ht="12.95" customHeight="1">
      <c r="A603" s="22"/>
      <c r="B603" t="s">
        <v>580</v>
      </c>
      <c r="C603"/>
      <c r="D603"/>
      <c r="E603"/>
      <c r="F603"/>
      <c r="G603" s="1359"/>
      <c r="H603" s="1359"/>
      <c r="I603" s="1359"/>
      <c r="J603" s="1359"/>
      <c r="K603" s="1359"/>
      <c r="L603" s="1359"/>
      <c r="M603" s="1359"/>
      <c r="N603" s="1359"/>
      <c r="O603" s="1359"/>
      <c r="P603" s="1359"/>
      <c r="Q603" s="1359"/>
      <c r="R603" s="1359"/>
      <c r="S603"/>
      <c r="T603" s="22"/>
      <c r="U603" t="s">
        <v>580</v>
      </c>
      <c r="V603"/>
      <c r="W603"/>
      <c r="X603"/>
      <c r="Y603"/>
      <c r="Z603" s="1399"/>
      <c r="AA603" s="1399"/>
      <c r="AB603" s="1399"/>
      <c r="AC603" s="1399"/>
      <c r="AD603" s="1399"/>
      <c r="AE603" s="1399"/>
      <c r="AF603" s="1399"/>
      <c r="AG603" s="1399"/>
      <c r="AH603" s="1399"/>
      <c r="AI603" s="1399"/>
      <c r="AJ603" s="1399"/>
      <c r="AK603" s="1399"/>
      <c r="AL603"/>
      <c r="AM603"/>
      <c r="AN603"/>
      <c r="AO603"/>
      <c r="AP603"/>
      <c r="AQ603"/>
      <c r="AR603"/>
      <c r="AS603"/>
      <c r="AT603"/>
      <c r="AU603"/>
      <c r="AV603"/>
      <c r="AW603"/>
      <c r="AX603"/>
      <c r="AY603"/>
      <c r="AZ603" s="3"/>
      <c r="BA603" s="3"/>
      <c r="BB603" s="3"/>
      <c r="BC603" s="3"/>
    </row>
    <row r="604" spans="1:55" s="4" customFormat="1" ht="12.95" customHeight="1">
      <c r="A604" s="22"/>
      <c r="B604" t="s">
        <v>17</v>
      </c>
      <c r="C604"/>
      <c r="D604"/>
      <c r="E604"/>
      <c r="F604"/>
      <c r="G604" s="1359"/>
      <c r="H604" s="1359"/>
      <c r="I604" s="1359"/>
      <c r="J604" s="1359"/>
      <c r="K604" s="1359"/>
      <c r="L604" s="1359"/>
      <c r="M604" s="1359"/>
      <c r="N604" s="1359"/>
      <c r="O604" s="1359"/>
      <c r="P604" s="1359"/>
      <c r="Q604" s="1359"/>
      <c r="R604" s="1359"/>
      <c r="S604"/>
      <c r="T604" s="22"/>
      <c r="U604" t="s">
        <v>17</v>
      </c>
      <c r="V604"/>
      <c r="W604"/>
      <c r="X604"/>
      <c r="Y604"/>
      <c r="Z604" s="1399"/>
      <c r="AA604" s="1399"/>
      <c r="AB604" s="1399"/>
      <c r="AC604" s="1399"/>
      <c r="AD604" s="1399"/>
      <c r="AE604" s="1399"/>
      <c r="AF604" s="1399"/>
      <c r="AG604" s="1399"/>
      <c r="AH604" s="1399"/>
      <c r="AI604" s="1399"/>
      <c r="AJ604" s="1399"/>
      <c r="AK604" s="1399"/>
      <c r="AL604"/>
      <c r="AM604"/>
      <c r="AN604"/>
      <c r="AO604"/>
      <c r="AP604"/>
      <c r="AQ604"/>
      <c r="AR604"/>
      <c r="AS604"/>
      <c r="AT604"/>
      <c r="AU604"/>
      <c r="AV604"/>
      <c r="AW604"/>
      <c r="AX604"/>
      <c r="AY604"/>
      <c r="BB604" s="3"/>
      <c r="BC604" s="3"/>
    </row>
    <row r="605" spans="1:55" s="4" customFormat="1" ht="12.95" customHeight="1">
      <c r="A605" s="22"/>
      <c r="B605" t="s">
        <v>316</v>
      </c>
      <c r="C605"/>
      <c r="D605"/>
      <c r="E605"/>
      <c r="F605"/>
      <c r="G605" s="1329"/>
      <c r="H605" s="1329"/>
      <c r="I605" s="1329"/>
      <c r="J605" s="1329"/>
      <c r="K605" s="1329"/>
      <c r="L605" s="1329"/>
      <c r="M605"/>
      <c r="N605"/>
      <c r="O605" s="33" t="s">
        <v>206</v>
      </c>
      <c r="P605" s="1416"/>
      <c r="Q605" s="1416"/>
      <c r="R605" s="1416"/>
      <c r="S605"/>
      <c r="T605" s="22"/>
      <c r="U605" t="s">
        <v>316</v>
      </c>
      <c r="V605"/>
      <c r="W605"/>
      <c r="X605"/>
      <c r="Y605"/>
      <c r="Z605" s="1329"/>
      <c r="AA605" s="1329"/>
      <c r="AB605" s="1329"/>
      <c r="AC605" s="1329"/>
      <c r="AD605" s="1329"/>
      <c r="AE605" s="1329"/>
      <c r="AF605"/>
      <c r="AG605"/>
      <c r="AH605" s="33" t="s">
        <v>206</v>
      </c>
      <c r="AI605" s="1416"/>
      <c r="AJ605" s="1416"/>
      <c r="AK605" s="1416"/>
      <c r="AL605"/>
      <c r="AM605"/>
      <c r="AN605"/>
      <c r="AO605"/>
      <c r="AP605"/>
      <c r="AQ605"/>
      <c r="AR605"/>
      <c r="AS605"/>
      <c r="AT605"/>
      <c r="AU605"/>
      <c r="AV605"/>
      <c r="AW605"/>
      <c r="AX605"/>
      <c r="AY605"/>
      <c r="BB605" s="3"/>
      <c r="BC605" s="3"/>
    </row>
    <row r="606" spans="1:55" s="4" customFormat="1" ht="12.95" customHeight="1">
      <c r="A606" s="22"/>
      <c r="B606" t="s">
        <v>18</v>
      </c>
      <c r="C606"/>
      <c r="D606"/>
      <c r="E606"/>
      <c r="F606"/>
      <c r="G606"/>
      <c r="H606" s="1359"/>
      <c r="I606" s="1359"/>
      <c r="J606" s="1359"/>
      <c r="K606" s="1359"/>
      <c r="L606" s="1359"/>
      <c r="M606" s="1359"/>
      <c r="N606" s="1359"/>
      <c r="O606" s="1359"/>
      <c r="P606" s="1359"/>
      <c r="Q606" s="1359"/>
      <c r="R606" s="1359"/>
      <c r="S606"/>
      <c r="T606" s="22"/>
      <c r="U606" t="s">
        <v>18</v>
      </c>
      <c r="V606"/>
      <c r="W606"/>
      <c r="X606"/>
      <c r="Y606"/>
      <c r="Z606"/>
      <c r="AA606" s="1359"/>
      <c r="AB606" s="1359"/>
      <c r="AC606" s="1359"/>
      <c r="AD606" s="1359"/>
      <c r="AE606" s="1359"/>
      <c r="AF606" s="1359"/>
      <c r="AG606" s="1359"/>
      <c r="AH606" s="1359"/>
      <c r="AI606" s="1359"/>
      <c r="AJ606" s="1359"/>
      <c r="AK606" s="1359"/>
      <c r="AL606"/>
      <c r="AM606"/>
      <c r="AN606"/>
      <c r="AO606"/>
      <c r="AP606"/>
      <c r="AQ606"/>
      <c r="AR606"/>
      <c r="AS606"/>
      <c r="AT606"/>
      <c r="AU606"/>
      <c r="AV606"/>
      <c r="AW606"/>
      <c r="AX606"/>
      <c r="AY606"/>
      <c r="BB606" s="3"/>
      <c r="BC606" s="3"/>
    </row>
    <row r="607" spans="1:55" ht="12.95" customHeight="1">
      <c r="A607" s="22"/>
      <c r="B607" t="s">
        <v>20</v>
      </c>
      <c r="N607" s="1324" t="s">
        <v>669</v>
      </c>
      <c r="O607" s="1324"/>
      <c r="T607" s="22"/>
      <c r="U607" t="s">
        <v>20</v>
      </c>
      <c r="AG607" s="1324" t="s">
        <v>669</v>
      </c>
      <c r="AH607" s="1324"/>
      <c r="BB607" s="3"/>
      <c r="BC607" s="3"/>
    </row>
    <row r="608" spans="1:55" ht="12.95" customHeight="1">
      <c r="A608" s="22"/>
      <c r="T608" s="22"/>
      <c r="BB608" s="3"/>
      <c r="BC608" s="3"/>
    </row>
    <row r="609" spans="1:55" ht="12.95" customHeight="1">
      <c r="A609" s="55" t="s">
        <v>461</v>
      </c>
      <c r="B609" t="s">
        <v>463</v>
      </c>
      <c r="G609" s="1314">
        <f>C570</f>
        <v>0</v>
      </c>
      <c r="H609" s="1314"/>
      <c r="I609" s="1314"/>
      <c r="J609" s="1314"/>
      <c r="K609" s="1314"/>
      <c r="L609" s="1314"/>
      <c r="M609" s="1314"/>
      <c r="N609" s="1314"/>
      <c r="O609" s="1314"/>
      <c r="P609" s="1314"/>
      <c r="Q609" s="1314"/>
      <c r="R609" s="1314"/>
      <c r="T609" s="55" t="s">
        <v>646</v>
      </c>
      <c r="U609" t="s">
        <v>463</v>
      </c>
      <c r="Z609" s="1314">
        <f>C571</f>
        <v>0</v>
      </c>
      <c r="AA609" s="1314"/>
      <c r="AB609" s="1314"/>
      <c r="AC609" s="1314"/>
      <c r="AD609" s="1314"/>
      <c r="AE609" s="1314"/>
      <c r="AF609" s="1314"/>
      <c r="AG609" s="1314"/>
      <c r="AH609" s="1314"/>
      <c r="AI609" s="1314"/>
      <c r="AJ609" s="1314"/>
      <c r="AK609" s="1314"/>
      <c r="BB609" s="3"/>
      <c r="BC609" s="3"/>
    </row>
    <row r="610" spans="1:55" ht="12.95" customHeight="1">
      <c r="A610" s="22"/>
      <c r="B610" t="s">
        <v>85</v>
      </c>
      <c r="G610" s="1359"/>
      <c r="H610" s="1359"/>
      <c r="I610" s="1359"/>
      <c r="J610" s="1359"/>
      <c r="K610" s="1359"/>
      <c r="L610" s="1359"/>
      <c r="M610" s="1359"/>
      <c r="N610" s="1359"/>
      <c r="O610" s="1359"/>
      <c r="P610" s="1359"/>
      <c r="Q610" s="1359"/>
      <c r="R610" s="1359"/>
      <c r="T610" s="22"/>
      <c r="U610" t="s">
        <v>85</v>
      </c>
      <c r="Z610" s="1359"/>
      <c r="AA610" s="1359"/>
      <c r="AB610" s="1359"/>
      <c r="AC610" s="1359"/>
      <c r="AD610" s="1359"/>
      <c r="AE610" s="1359"/>
      <c r="AF610" s="1359"/>
      <c r="AG610" s="1359"/>
      <c r="AH610" s="1359"/>
      <c r="AI610" s="1359"/>
      <c r="AJ610" s="1359"/>
      <c r="AK610" s="1359"/>
      <c r="AZ610" s="3"/>
      <c r="BA610" s="3"/>
      <c r="BB610" s="3"/>
      <c r="BC610" s="3"/>
    </row>
    <row r="611" spans="1:55" ht="12.95" customHeight="1">
      <c r="A611" s="22"/>
      <c r="B611" t="s">
        <v>580</v>
      </c>
      <c r="G611" s="1359"/>
      <c r="H611" s="1359"/>
      <c r="I611" s="1359"/>
      <c r="J611" s="1359"/>
      <c r="K611" s="1359"/>
      <c r="L611" s="1359"/>
      <c r="M611" s="1359"/>
      <c r="N611" s="1359"/>
      <c r="O611" s="1359"/>
      <c r="P611" s="1359"/>
      <c r="Q611" s="1359"/>
      <c r="R611" s="1359"/>
      <c r="T611" s="22"/>
      <c r="U611" t="s">
        <v>580</v>
      </c>
      <c r="Z611" s="1399"/>
      <c r="AA611" s="1399"/>
      <c r="AB611" s="1399"/>
      <c r="AC611" s="1399"/>
      <c r="AD611" s="1399"/>
      <c r="AE611" s="1399"/>
      <c r="AF611" s="1399"/>
      <c r="AG611" s="1399"/>
      <c r="AH611" s="1399"/>
      <c r="AI611" s="1399"/>
      <c r="AJ611" s="1399"/>
      <c r="AK611" s="1399"/>
      <c r="AZ611" s="3"/>
      <c r="BA611" s="3"/>
      <c r="BB611" s="3"/>
      <c r="BC611" s="3"/>
    </row>
    <row r="612" spans="1:55" ht="12.95" customHeight="1">
      <c r="A612" s="22"/>
      <c r="B612" t="s">
        <v>17</v>
      </c>
      <c r="G612" s="1359"/>
      <c r="H612" s="1359"/>
      <c r="I612" s="1359"/>
      <c r="J612" s="1359"/>
      <c r="K612" s="1359"/>
      <c r="L612" s="1359"/>
      <c r="M612" s="1359"/>
      <c r="N612" s="1359"/>
      <c r="O612" s="1359"/>
      <c r="P612" s="1359"/>
      <c r="Q612" s="1359"/>
      <c r="R612" s="1359"/>
      <c r="T612" s="22"/>
      <c r="U612" t="s">
        <v>17</v>
      </c>
      <c r="Z612" s="1399"/>
      <c r="AA612" s="1399"/>
      <c r="AB612" s="1399"/>
      <c r="AC612" s="1399"/>
      <c r="AD612" s="1399"/>
      <c r="AE612" s="1399"/>
      <c r="AF612" s="1399"/>
      <c r="AG612" s="1399"/>
      <c r="AH612" s="1399"/>
      <c r="AI612" s="1399"/>
      <c r="AJ612" s="1399"/>
      <c r="AK612" s="1399"/>
      <c r="AZ612" s="3"/>
      <c r="BA612" s="3"/>
      <c r="BB612" s="3"/>
      <c r="BC612" s="3"/>
    </row>
    <row r="613" spans="1:55" s="4" customFormat="1" ht="12.95" customHeight="1">
      <c r="A613" s="22"/>
      <c r="B613" t="s">
        <v>316</v>
      </c>
      <c r="C613"/>
      <c r="D613"/>
      <c r="E613"/>
      <c r="F613"/>
      <c r="G613" s="1329"/>
      <c r="H613" s="1329"/>
      <c r="I613" s="1329"/>
      <c r="J613" s="1329"/>
      <c r="K613" s="1329"/>
      <c r="L613" s="1329"/>
      <c r="M613"/>
      <c r="N613"/>
      <c r="O613" s="33" t="s">
        <v>206</v>
      </c>
      <c r="P613" s="1416"/>
      <c r="Q613" s="1416"/>
      <c r="R613" s="1416"/>
      <c r="S613"/>
      <c r="T613" s="22"/>
      <c r="U613" t="s">
        <v>316</v>
      </c>
      <c r="V613"/>
      <c r="W613"/>
      <c r="X613"/>
      <c r="Y613"/>
      <c r="Z613" s="1329"/>
      <c r="AA613" s="1329"/>
      <c r="AB613" s="1329"/>
      <c r="AC613" s="1329"/>
      <c r="AD613" s="1329"/>
      <c r="AE613" s="1329"/>
      <c r="AF613"/>
      <c r="AG613"/>
      <c r="AH613" s="33" t="s">
        <v>206</v>
      </c>
      <c r="AI613" s="1416"/>
      <c r="AJ613" s="1416"/>
      <c r="AK613" s="1416"/>
      <c r="AL613"/>
      <c r="AM613"/>
      <c r="AN613"/>
      <c r="AO613"/>
      <c r="AP613"/>
      <c r="AQ613"/>
      <c r="AR613"/>
      <c r="AS613"/>
      <c r="AT613"/>
      <c r="AU613"/>
      <c r="AV613"/>
      <c r="AW613"/>
      <c r="AX613"/>
      <c r="AY613"/>
      <c r="AZ613" s="3"/>
      <c r="BA613" s="3"/>
      <c r="BB613" s="3"/>
      <c r="BC613" s="3"/>
    </row>
    <row r="614" spans="1:55" s="4" customFormat="1" ht="12.95" customHeight="1">
      <c r="A614" s="22"/>
      <c r="B614" t="s">
        <v>18</v>
      </c>
      <c r="C614"/>
      <c r="D614"/>
      <c r="E614"/>
      <c r="F614"/>
      <c r="G614"/>
      <c r="H614" s="1359"/>
      <c r="I614" s="1359"/>
      <c r="J614" s="1359"/>
      <c r="K614" s="1359"/>
      <c r="L614" s="1359"/>
      <c r="M614" s="1359"/>
      <c r="N614" s="1359"/>
      <c r="O614" s="1359"/>
      <c r="P614" s="1359"/>
      <c r="Q614" s="1359"/>
      <c r="R614" s="1359"/>
      <c r="S614"/>
      <c r="T614" s="22"/>
      <c r="U614" t="s">
        <v>18</v>
      </c>
      <c r="V614"/>
      <c r="W614"/>
      <c r="X614"/>
      <c r="Y614"/>
      <c r="Z614"/>
      <c r="AA614" s="1359"/>
      <c r="AB614" s="1359"/>
      <c r="AC614" s="1359"/>
      <c r="AD614" s="1359"/>
      <c r="AE614" s="1359"/>
      <c r="AF614" s="1359"/>
      <c r="AG614" s="1359"/>
      <c r="AH614" s="1359"/>
      <c r="AI614" s="1359"/>
      <c r="AJ614" s="1359"/>
      <c r="AK614" s="1359"/>
      <c r="AL614"/>
      <c r="AM614"/>
      <c r="AN614"/>
      <c r="AO614"/>
      <c r="AP614"/>
      <c r="AQ614"/>
      <c r="AR614"/>
      <c r="AS614"/>
      <c r="AT614"/>
      <c r="AU614"/>
      <c r="AV614"/>
      <c r="AW614"/>
      <c r="AX614"/>
      <c r="AY614"/>
      <c r="AZ614" s="3"/>
      <c r="BA614" s="3"/>
      <c r="BB614" s="3"/>
      <c r="BC614" s="3"/>
    </row>
    <row r="615" spans="1:55" s="4" customFormat="1" ht="12.95" customHeight="1">
      <c r="A615" s="22"/>
      <c r="B615" t="s">
        <v>20</v>
      </c>
      <c r="C615"/>
      <c r="D615"/>
      <c r="E615"/>
      <c r="F615"/>
      <c r="G615"/>
      <c r="H615"/>
      <c r="I615"/>
      <c r="J615"/>
      <c r="K615"/>
      <c r="L615"/>
      <c r="M615"/>
      <c r="N615" s="1324" t="s">
        <v>669</v>
      </c>
      <c r="O615" s="1324"/>
      <c r="P615"/>
      <c r="Q615"/>
      <c r="R615"/>
      <c r="S615"/>
      <c r="T615" s="22"/>
      <c r="U615" t="s">
        <v>20</v>
      </c>
      <c r="V615"/>
      <c r="W615"/>
      <c r="X615"/>
      <c r="Y615"/>
      <c r="Z615"/>
      <c r="AA615"/>
      <c r="AB615"/>
      <c r="AC615"/>
      <c r="AD615"/>
      <c r="AE615"/>
      <c r="AF615"/>
      <c r="AG615" s="1324" t="s">
        <v>669</v>
      </c>
      <c r="AH615" s="1324"/>
      <c r="AI615"/>
      <c r="AJ615"/>
      <c r="AK615"/>
      <c r="AL615"/>
      <c r="AM615"/>
      <c r="AN615"/>
      <c r="AO615"/>
      <c r="AP615"/>
      <c r="AQ615"/>
      <c r="AR615"/>
      <c r="AS615"/>
      <c r="AT615"/>
      <c r="AU615"/>
      <c r="AV615"/>
      <c r="AW615"/>
      <c r="AX615"/>
      <c r="AY615"/>
      <c r="AZ615" s="3"/>
      <c r="BA615" s="3"/>
      <c r="BB615" s="3"/>
      <c r="BC615" s="3"/>
    </row>
    <row r="616" spans="1:55" ht="12.95" customHeight="1">
      <c r="A616" s="22"/>
      <c r="T616" s="22"/>
      <c r="AZ616" s="3"/>
      <c r="BA616" s="3"/>
      <c r="BB616" s="3"/>
      <c r="BC616" s="3"/>
    </row>
    <row r="617" spans="1:55" ht="12.95" customHeight="1">
      <c r="A617" s="55" t="s">
        <v>362</v>
      </c>
      <c r="B617" t="s">
        <v>463</v>
      </c>
      <c r="G617" s="1314">
        <f>C572</f>
        <v>0</v>
      </c>
      <c r="H617" s="1314"/>
      <c r="I617" s="1314"/>
      <c r="J617" s="1314"/>
      <c r="K617" s="1314"/>
      <c r="L617" s="1314"/>
      <c r="M617" s="1314"/>
      <c r="N617" s="1314"/>
      <c r="O617" s="1314"/>
      <c r="P617" s="1314"/>
      <c r="Q617" s="1314"/>
      <c r="R617" s="1314"/>
      <c r="T617" s="55" t="s">
        <v>363</v>
      </c>
      <c r="U617" t="s">
        <v>463</v>
      </c>
      <c r="Z617" s="1314">
        <f>C573</f>
        <v>0</v>
      </c>
      <c r="AA617" s="1314"/>
      <c r="AB617" s="1314"/>
      <c r="AC617" s="1314"/>
      <c r="AD617" s="1314"/>
      <c r="AE617" s="1314"/>
      <c r="AF617" s="1314"/>
      <c r="AG617" s="1314"/>
      <c r="AH617" s="1314"/>
      <c r="AI617" s="1314"/>
      <c r="AJ617" s="1314"/>
      <c r="AK617" s="1314"/>
      <c r="AZ617" s="3"/>
      <c r="BA617" s="3"/>
      <c r="BB617" s="3"/>
      <c r="BC617" s="3"/>
    </row>
    <row r="618" spans="1:55" ht="12.95" customHeight="1">
      <c r="B618" t="s">
        <v>85</v>
      </c>
      <c r="G618" s="1359"/>
      <c r="H618" s="1359"/>
      <c r="I618" s="1359"/>
      <c r="J618" s="1359"/>
      <c r="K618" s="1359"/>
      <c r="L618" s="1359"/>
      <c r="M618" s="1359"/>
      <c r="N618" s="1359"/>
      <c r="O618" s="1359"/>
      <c r="P618" s="1359"/>
      <c r="Q618" s="1359"/>
      <c r="R618" s="1359"/>
      <c r="U618" t="s">
        <v>85</v>
      </c>
      <c r="Z618" s="1359"/>
      <c r="AA618" s="1359"/>
      <c r="AB618" s="1359"/>
      <c r="AC618" s="1359"/>
      <c r="AD618" s="1359"/>
      <c r="AE618" s="1359"/>
      <c r="AF618" s="1359"/>
      <c r="AG618" s="1359"/>
      <c r="AH618" s="1359"/>
      <c r="AI618" s="1359"/>
      <c r="AJ618" s="1359"/>
      <c r="AK618" s="1359"/>
      <c r="AZ618" s="3"/>
      <c r="BA618" s="3"/>
      <c r="BB618" s="3"/>
      <c r="BC618" s="3"/>
    </row>
    <row r="619" spans="1:55" ht="12.95" customHeight="1">
      <c r="B619" t="s">
        <v>580</v>
      </c>
      <c r="G619" s="1359"/>
      <c r="H619" s="1359"/>
      <c r="I619" s="1359"/>
      <c r="J619" s="1359"/>
      <c r="K619" s="1359"/>
      <c r="L619" s="1359"/>
      <c r="M619" s="1359"/>
      <c r="N619" s="1359"/>
      <c r="O619" s="1359"/>
      <c r="P619" s="1359"/>
      <c r="Q619" s="1359"/>
      <c r="R619" s="1359"/>
      <c r="U619" t="s">
        <v>580</v>
      </c>
      <c r="Z619" s="1399"/>
      <c r="AA619" s="1399"/>
      <c r="AB619" s="1399"/>
      <c r="AC619" s="1399"/>
      <c r="AD619" s="1399"/>
      <c r="AE619" s="1399"/>
      <c r="AF619" s="1399"/>
      <c r="AG619" s="1399"/>
      <c r="AH619" s="1399"/>
      <c r="AI619" s="1399"/>
      <c r="AJ619" s="1399"/>
      <c r="AK619" s="1399"/>
      <c r="AZ619" s="3"/>
      <c r="BA619" s="3"/>
      <c r="BB619" s="3"/>
      <c r="BC619" s="3"/>
    </row>
    <row r="620" spans="1:55" ht="12.95" customHeight="1">
      <c r="B620" t="s">
        <v>17</v>
      </c>
      <c r="G620" s="1359"/>
      <c r="H620" s="1359"/>
      <c r="I620" s="1359"/>
      <c r="J620" s="1359"/>
      <c r="K620" s="1359"/>
      <c r="L620" s="1359"/>
      <c r="M620" s="1359"/>
      <c r="N620" s="1359"/>
      <c r="O620" s="1359"/>
      <c r="P620" s="1359"/>
      <c r="Q620" s="1359"/>
      <c r="R620" s="1359"/>
      <c r="U620" t="s">
        <v>17</v>
      </c>
      <c r="Z620" s="1399"/>
      <c r="AA620" s="1399"/>
      <c r="AB620" s="1399"/>
      <c r="AC620" s="1399"/>
      <c r="AD620" s="1399"/>
      <c r="AE620" s="1399"/>
      <c r="AF620" s="1399"/>
      <c r="AG620" s="1399"/>
      <c r="AH620" s="1399"/>
      <c r="AI620" s="1399"/>
      <c r="AJ620" s="1399"/>
      <c r="AK620" s="1399"/>
      <c r="AZ620" s="3"/>
      <c r="BA620" s="3"/>
      <c r="BB620" s="3"/>
      <c r="BC620" s="3"/>
    </row>
    <row r="621" spans="1:55" ht="12.95" customHeight="1">
      <c r="B621" t="s">
        <v>316</v>
      </c>
      <c r="G621" s="1329"/>
      <c r="H621" s="1329"/>
      <c r="I621" s="1329"/>
      <c r="J621" s="1329"/>
      <c r="K621" s="1329"/>
      <c r="L621" s="1329"/>
      <c r="O621" s="33" t="s">
        <v>206</v>
      </c>
      <c r="P621" s="1416"/>
      <c r="Q621" s="1416"/>
      <c r="R621" s="1416"/>
      <c r="U621" t="s">
        <v>316</v>
      </c>
      <c r="Z621" s="1329"/>
      <c r="AA621" s="1329"/>
      <c r="AB621" s="1329"/>
      <c r="AC621" s="1329"/>
      <c r="AD621" s="1329"/>
      <c r="AE621" s="1329"/>
      <c r="AH621" s="33" t="s">
        <v>206</v>
      </c>
      <c r="AI621" s="1416"/>
      <c r="AJ621" s="1416"/>
      <c r="AK621" s="1416"/>
      <c r="AZ621" s="3"/>
      <c r="BA621" s="3"/>
      <c r="BB621" s="3"/>
      <c r="BC621" s="3"/>
    </row>
    <row r="622" spans="1:55" ht="12.95" customHeight="1">
      <c r="B622" t="s">
        <v>18</v>
      </c>
      <c r="H622" s="1359"/>
      <c r="I622" s="1359"/>
      <c r="J622" s="1359"/>
      <c r="K622" s="1359"/>
      <c r="L622" s="1359"/>
      <c r="M622" s="1359"/>
      <c r="N622" s="1359"/>
      <c r="O622" s="1359"/>
      <c r="P622" s="1359"/>
      <c r="Q622" s="1359"/>
      <c r="R622" s="1359"/>
      <c r="U622" t="s">
        <v>18</v>
      </c>
      <c r="AA622" s="1359"/>
      <c r="AB622" s="1359"/>
      <c r="AC622" s="1359"/>
      <c r="AD622" s="1359"/>
      <c r="AE622" s="1359"/>
      <c r="AF622" s="1359"/>
      <c r="AG622" s="1359"/>
      <c r="AH622" s="1359"/>
      <c r="AI622" s="1359"/>
      <c r="AJ622" s="1359"/>
      <c r="AK622" s="1359"/>
      <c r="AU622" s="895"/>
      <c r="AV622" s="895"/>
      <c r="AW622" s="895"/>
      <c r="AX622" s="895"/>
      <c r="AY622" s="895"/>
      <c r="AZ622" s="3"/>
      <c r="BA622" s="3"/>
      <c r="BB622" s="3"/>
      <c r="BC622" s="3"/>
    </row>
    <row r="623" spans="1:55" ht="12.95" customHeight="1">
      <c r="B623" t="s">
        <v>20</v>
      </c>
      <c r="N623" s="1324" t="s">
        <v>669</v>
      </c>
      <c r="O623" s="1324"/>
      <c r="U623" t="s">
        <v>20</v>
      </c>
      <c r="AG623" s="1324" t="s">
        <v>669</v>
      </c>
      <c r="AH623" s="1324"/>
      <c r="AU623" s="895"/>
      <c r="AV623" s="895"/>
      <c r="AW623" s="895"/>
      <c r="AX623" s="895"/>
      <c r="AY623" s="895"/>
      <c r="AZ623" s="3"/>
      <c r="BA623" s="3"/>
      <c r="BB623" s="3"/>
      <c r="BC623" s="3"/>
    </row>
    <row r="624" spans="1:55" ht="12.95" customHeight="1">
      <c r="AZ624" s="3"/>
      <c r="BA624" s="3"/>
      <c r="BB624" s="3"/>
      <c r="BC624" s="3"/>
    </row>
    <row r="625" spans="1:56" ht="12.95" customHeight="1">
      <c r="A625" s="1609" t="s">
        <v>544</v>
      </c>
      <c r="B625" s="1609"/>
      <c r="C625" s="1609"/>
      <c r="D625" s="1609"/>
      <c r="E625" s="1609"/>
      <c r="F625" s="1609"/>
      <c r="G625" s="1609"/>
      <c r="H625" s="1609"/>
      <c r="I625" s="1609"/>
      <c r="J625" s="1609"/>
      <c r="K625" s="1609"/>
      <c r="L625" s="1609"/>
      <c r="M625" s="1609"/>
      <c r="N625" s="1609"/>
      <c r="O625" s="1609"/>
      <c r="P625" s="1609"/>
      <c r="Q625" s="1609"/>
      <c r="R625" s="1609"/>
      <c r="S625" s="1609"/>
      <c r="T625" s="1609"/>
      <c r="U625" s="1609"/>
      <c r="V625" s="1609"/>
      <c r="W625" s="1609"/>
      <c r="X625" s="1609"/>
      <c r="Y625" s="1609"/>
      <c r="Z625" s="1609"/>
      <c r="AA625" s="1609"/>
      <c r="AB625" s="1609"/>
      <c r="AC625" s="1609"/>
      <c r="AD625" s="1609"/>
      <c r="AE625" s="1609"/>
      <c r="AF625" s="1609"/>
      <c r="AG625" s="1609"/>
      <c r="AH625" s="1609"/>
      <c r="AI625" s="1609"/>
      <c r="AJ625" s="1609"/>
      <c r="AK625" s="1609"/>
      <c r="AL625" s="1609"/>
      <c r="AM625" s="1609"/>
      <c r="AN625" s="1609"/>
      <c r="AO625" s="1609"/>
      <c r="AP625" s="1609"/>
      <c r="AQ625" s="1609"/>
      <c r="AR625" s="1609"/>
      <c r="AS625" s="1609"/>
      <c r="AT625" s="1609"/>
      <c r="AZ625" s="3"/>
      <c r="BA625" s="3"/>
      <c r="BB625" s="3"/>
      <c r="BC625" s="3"/>
    </row>
    <row r="626" spans="1:56" ht="12.95" customHeight="1">
      <c r="A626" s="1609"/>
      <c r="B626" s="1609"/>
      <c r="C626" s="1609"/>
      <c r="D626" s="1609"/>
      <c r="E626" s="1609"/>
      <c r="F626" s="1609"/>
      <c r="G626" s="1609"/>
      <c r="H626" s="1609"/>
      <c r="I626" s="1609"/>
      <c r="J626" s="1609"/>
      <c r="K626" s="1609"/>
      <c r="L626" s="1609"/>
      <c r="M626" s="1609"/>
      <c r="N626" s="1609"/>
      <c r="O626" s="1609"/>
      <c r="P626" s="1609"/>
      <c r="Q626" s="1609"/>
      <c r="R626" s="1609"/>
      <c r="S626" s="1609"/>
      <c r="T626" s="1609"/>
      <c r="U626" s="1609"/>
      <c r="V626" s="1609"/>
      <c r="W626" s="1609"/>
      <c r="X626" s="1609"/>
      <c r="Y626" s="1609"/>
      <c r="Z626" s="1609"/>
      <c r="AA626" s="1609"/>
      <c r="AB626" s="1609"/>
      <c r="AC626" s="1609"/>
      <c r="AD626" s="1609"/>
      <c r="AE626" s="1609"/>
      <c r="AF626" s="1609"/>
      <c r="AG626" s="1609"/>
      <c r="AH626" s="1609"/>
      <c r="AI626" s="1609"/>
      <c r="AJ626" s="1609"/>
      <c r="AK626" s="1609"/>
      <c r="AL626" s="1609"/>
      <c r="AM626" s="1609"/>
      <c r="AN626" s="1609"/>
      <c r="AO626" s="1609"/>
      <c r="AP626" s="1609"/>
      <c r="AQ626" s="1609"/>
      <c r="AR626" s="1609"/>
      <c r="AS626" s="1609"/>
      <c r="AT626" s="1609"/>
      <c r="AZ626" s="3"/>
      <c r="BA626" s="3"/>
      <c r="BB626" s="3"/>
      <c r="BC626" s="3"/>
    </row>
    <row r="627" spans="1:56" ht="12.95" customHeight="1">
      <c r="AZ627" s="3"/>
      <c r="BA627" s="3"/>
      <c r="BB627" s="3"/>
      <c r="BC627" s="3"/>
    </row>
    <row r="628" spans="1:56" ht="12.95" customHeight="1">
      <c r="A628" s="2" t="s">
        <v>319</v>
      </c>
      <c r="B628" s="2"/>
      <c r="C628" s="2" t="s">
        <v>21</v>
      </c>
      <c r="AZ628" s="3"/>
      <c r="BA628" s="3"/>
      <c r="BB628" s="3"/>
      <c r="BC628" s="3"/>
    </row>
    <row r="629" spans="1:56" ht="12.95" customHeight="1">
      <c r="A629" s="2"/>
      <c r="B629" s="2"/>
      <c r="C629" s="2"/>
      <c r="AZ629" s="3"/>
      <c r="BA629" s="3"/>
      <c r="BB629" s="3"/>
      <c r="BC629" s="3"/>
    </row>
    <row r="630" spans="1:56" ht="12.95" customHeight="1">
      <c r="C630" s="2" t="s">
        <v>2055</v>
      </c>
      <c r="AZ630" s="3"/>
      <c r="BA630" s="3"/>
      <c r="BB630" s="3"/>
      <c r="BC630" s="3"/>
    </row>
    <row r="631" spans="1:56" ht="12.95" customHeight="1">
      <c r="B631" s="512"/>
      <c r="C631" s="2"/>
      <c r="AU631" s="3"/>
      <c r="AZ631" s="3"/>
      <c r="BA631" s="3"/>
      <c r="BB631" s="3"/>
      <c r="BC631" s="3"/>
    </row>
    <row r="632" spans="1:56" ht="12.95" customHeight="1">
      <c r="B632" s="1774" t="s">
        <v>2057</v>
      </c>
      <c r="C632" s="1774"/>
      <c r="D632" s="1774"/>
      <c r="E632" s="1774"/>
      <c r="F632" s="1774"/>
      <c r="G632" s="1774"/>
      <c r="H632" s="1774"/>
      <c r="I632" s="1774"/>
      <c r="J632" s="1774"/>
      <c r="K632" s="1774"/>
      <c r="L632" s="1774"/>
      <c r="M632" s="1606" t="s">
        <v>2058</v>
      </c>
      <c r="N632" s="1606"/>
      <c r="O632" s="1606"/>
      <c r="P632" s="1606"/>
      <c r="Q632" s="1606" t="s">
        <v>1828</v>
      </c>
      <c r="R632" s="1606"/>
      <c r="S632" s="1606"/>
      <c r="T632" s="1606" t="s">
        <v>1826</v>
      </c>
      <c r="U632" s="1606"/>
      <c r="V632" s="1606"/>
      <c r="W632" s="1596" t="s">
        <v>453</v>
      </c>
      <c r="X632" s="1596"/>
      <c r="Y632" s="1596"/>
      <c r="Z632" s="1348" t="s">
        <v>2087</v>
      </c>
      <c r="AA632" s="1348"/>
      <c r="AB632" s="1349"/>
      <c r="AC632" s="1762" t="s">
        <v>1665</v>
      </c>
      <c r="AD632" s="1763"/>
      <c r="AE632" s="1764"/>
      <c r="AF632" s="1347" t="s">
        <v>1903</v>
      </c>
      <c r="AG632" s="1348"/>
      <c r="AH632" s="1348"/>
      <c r="AI632" s="1348"/>
      <c r="AJ632" s="1349"/>
      <c r="AK632" s="1597" t="s">
        <v>1904</v>
      </c>
      <c r="AL632" s="1598"/>
      <c r="AM632" s="1598"/>
      <c r="AN632" s="1599"/>
      <c r="AO632" s="1606" t="s">
        <v>454</v>
      </c>
      <c r="AP632" s="1606"/>
      <c r="AQ632" s="1606"/>
      <c r="AR632" s="1606"/>
      <c r="AS632" s="1606"/>
      <c r="AU632" s="3"/>
      <c r="AZ632" s="3"/>
      <c r="BA632" s="3"/>
      <c r="BB632" s="3"/>
      <c r="BC632" s="3"/>
    </row>
    <row r="633" spans="1:56" ht="12.95" customHeight="1">
      <c r="B633" s="1774"/>
      <c r="C633" s="1774"/>
      <c r="D633" s="1774"/>
      <c r="E633" s="1774"/>
      <c r="F633" s="1774"/>
      <c r="G633" s="1774"/>
      <c r="H633" s="1774"/>
      <c r="I633" s="1774"/>
      <c r="J633" s="1774"/>
      <c r="K633" s="1774"/>
      <c r="L633" s="1774"/>
      <c r="M633" s="1606"/>
      <c r="N633" s="1606"/>
      <c r="O633" s="1606"/>
      <c r="P633" s="1606"/>
      <c r="Q633" s="1606"/>
      <c r="R633" s="1606"/>
      <c r="S633" s="1606"/>
      <c r="T633" s="1606"/>
      <c r="U633" s="1606"/>
      <c r="V633" s="1606"/>
      <c r="W633" s="1596"/>
      <c r="X633" s="1596"/>
      <c r="Y633" s="1596"/>
      <c r="Z633" s="1351"/>
      <c r="AA633" s="1351"/>
      <c r="AB633" s="1352"/>
      <c r="AC633" s="1765"/>
      <c r="AD633" s="1766"/>
      <c r="AE633" s="1767"/>
      <c r="AF633" s="1350"/>
      <c r="AG633" s="1351"/>
      <c r="AH633" s="1351"/>
      <c r="AI633" s="1351"/>
      <c r="AJ633" s="1352"/>
      <c r="AK633" s="1600"/>
      <c r="AL633" s="1601"/>
      <c r="AM633" s="1601"/>
      <c r="AN633" s="1602"/>
      <c r="AO633" s="1606"/>
      <c r="AP633" s="1606"/>
      <c r="AQ633" s="1606"/>
      <c r="AR633" s="1606"/>
      <c r="AS633" s="1606"/>
      <c r="AU633" s="3"/>
      <c r="AZ633" s="3"/>
      <c r="BA633" s="3"/>
      <c r="BB633" s="3"/>
      <c r="BC633" s="3"/>
      <c r="BD633" s="3"/>
    </row>
    <row r="634" spans="1:56" ht="12.95" customHeight="1">
      <c r="B634" s="1774"/>
      <c r="C634" s="1774"/>
      <c r="D634" s="1774"/>
      <c r="E634" s="1774"/>
      <c r="F634" s="1774"/>
      <c r="G634" s="1774"/>
      <c r="H634" s="1774"/>
      <c r="I634" s="1774"/>
      <c r="J634" s="1774"/>
      <c r="K634" s="1774"/>
      <c r="L634" s="1774"/>
      <c r="M634" s="1606"/>
      <c r="N634" s="1606"/>
      <c r="O634" s="1606"/>
      <c r="P634" s="1606"/>
      <c r="Q634" s="1606"/>
      <c r="R634" s="1606"/>
      <c r="S634" s="1606"/>
      <c r="T634" s="1606"/>
      <c r="U634" s="1606"/>
      <c r="V634" s="1606"/>
      <c r="W634" s="1596"/>
      <c r="X634" s="1596"/>
      <c r="Y634" s="1596"/>
      <c r="Z634" s="1354"/>
      <c r="AA634" s="1354"/>
      <c r="AB634" s="1355"/>
      <c r="AC634" s="1768"/>
      <c r="AD634" s="1769"/>
      <c r="AE634" s="1770"/>
      <c r="AF634" s="1353"/>
      <c r="AG634" s="1354"/>
      <c r="AH634" s="1354"/>
      <c r="AI634" s="1354"/>
      <c r="AJ634" s="1355"/>
      <c r="AK634" s="1603"/>
      <c r="AL634" s="1604"/>
      <c r="AM634" s="1604"/>
      <c r="AN634" s="1605"/>
      <c r="AO634" s="1606"/>
      <c r="AP634" s="1606"/>
      <c r="AQ634" s="1606"/>
      <c r="AR634" s="1606"/>
      <c r="AS634" s="1606"/>
      <c r="AT634" s="3"/>
      <c r="AU634" s="3"/>
      <c r="AZ634" s="3"/>
      <c r="BA634" s="3"/>
      <c r="BB634" s="3"/>
      <c r="BC634" s="3"/>
      <c r="BD634" s="3"/>
    </row>
    <row r="635" spans="1:56" ht="12.95" customHeight="1">
      <c r="B635" s="51" t="s">
        <v>112</v>
      </c>
      <c r="C635" s="1425" t="s">
        <v>2737</v>
      </c>
      <c r="D635" s="1425"/>
      <c r="E635" s="1425"/>
      <c r="F635" s="1425"/>
      <c r="G635" s="1425"/>
      <c r="H635" s="1425"/>
      <c r="I635" s="1425"/>
      <c r="J635" s="1425"/>
      <c r="K635" s="1425"/>
      <c r="L635" s="1425"/>
      <c r="M635" s="1517" t="s">
        <v>2068</v>
      </c>
      <c r="N635" s="1517"/>
      <c r="O635" s="1517"/>
      <c r="P635" s="1517"/>
      <c r="Q635" s="1479">
        <v>480</v>
      </c>
      <c r="R635" s="1479"/>
      <c r="S635" s="1523"/>
      <c r="T635" s="1522">
        <v>480</v>
      </c>
      <c r="U635" s="1479"/>
      <c r="V635" s="1523"/>
      <c r="W635" s="1325">
        <v>6.4000000000000001E-2</v>
      </c>
      <c r="X635" s="1326"/>
      <c r="Y635" s="1327"/>
      <c r="Z635" s="1421" t="s">
        <v>2086</v>
      </c>
      <c r="AA635" s="1422"/>
      <c r="AB635" s="1423"/>
      <c r="AC635" s="1409">
        <v>1</v>
      </c>
      <c r="AD635" s="1410"/>
      <c r="AE635" s="1411"/>
      <c r="AF635" s="1514">
        <v>534638</v>
      </c>
      <c r="AG635" s="1515"/>
      <c r="AH635" s="1515"/>
      <c r="AI635" s="1515"/>
      <c r="AJ635" s="1516"/>
      <c r="AK635" s="1308"/>
      <c r="AL635" s="1309"/>
      <c r="AM635" s="1309"/>
      <c r="AN635" s="1310"/>
      <c r="AO635" s="1567">
        <v>7703530</v>
      </c>
      <c r="AP635" s="1567"/>
      <c r="AQ635" s="1567"/>
      <c r="AR635" s="1567"/>
      <c r="AS635" s="1567"/>
      <c r="AT635" s="3"/>
      <c r="AU635" s="3"/>
      <c r="AZ635" s="3"/>
      <c r="BA635" s="3"/>
      <c r="BB635" s="3"/>
      <c r="BC635" s="3"/>
      <c r="BD635" s="3"/>
    </row>
    <row r="636" spans="1:56" ht="12.95" customHeight="1">
      <c r="B636" s="52" t="s">
        <v>113</v>
      </c>
      <c r="C636" s="1425" t="s">
        <v>2738</v>
      </c>
      <c r="D636" s="1425"/>
      <c r="E636" s="1425"/>
      <c r="F636" s="1425"/>
      <c r="G636" s="1425"/>
      <c r="H636" s="1425"/>
      <c r="I636" s="1425"/>
      <c r="J636" s="1425"/>
      <c r="K636" s="1425"/>
      <c r="L636" s="1425"/>
      <c r="M636" s="1517" t="s">
        <v>2070</v>
      </c>
      <c r="N636" s="1517"/>
      <c r="O636" s="1517"/>
      <c r="P636" s="1517"/>
      <c r="Q636" s="1522"/>
      <c r="R636" s="1479"/>
      <c r="S636" s="1523"/>
      <c r="T636" s="1522"/>
      <c r="U636" s="1479"/>
      <c r="V636" s="1523"/>
      <c r="W636" s="1325"/>
      <c r="X636" s="1326"/>
      <c r="Y636" s="1327"/>
      <c r="Z636" s="1421" t="s">
        <v>457</v>
      </c>
      <c r="AA636" s="1422"/>
      <c r="AB636" s="1423"/>
      <c r="AC636" s="1409"/>
      <c r="AD636" s="1410"/>
      <c r="AE636" s="1411"/>
      <c r="AF636" s="1514"/>
      <c r="AG636" s="1515"/>
      <c r="AH636" s="1515"/>
      <c r="AI636" s="1515"/>
      <c r="AJ636" s="1516"/>
      <c r="AK636" s="1308"/>
      <c r="AL636" s="1309"/>
      <c r="AM636" s="1309"/>
      <c r="AN636" s="1310"/>
      <c r="AO636" s="1420">
        <v>1573346</v>
      </c>
      <c r="AP636" s="1272"/>
      <c r="AQ636" s="1272"/>
      <c r="AR636" s="1272"/>
      <c r="AS636" s="1273"/>
      <c r="AT636" s="1142" t="str">
        <f>IF(AND(NOT(C635=""),C636="",NOT(C637="")),"!","")</f>
        <v/>
      </c>
      <c r="AU636" s="3"/>
      <c r="AZ636" s="3"/>
      <c r="BA636" s="3"/>
      <c r="BB636" s="3"/>
      <c r="BC636" s="3"/>
      <c r="BD636" s="3"/>
    </row>
    <row r="637" spans="1:56" ht="12.95" customHeight="1">
      <c r="B637" s="52" t="s">
        <v>119</v>
      </c>
      <c r="C637" s="1425" t="s">
        <v>2739</v>
      </c>
      <c r="D637" s="1425"/>
      <c r="E637" s="1425"/>
      <c r="F637" s="1425"/>
      <c r="G637" s="1425"/>
      <c r="H637" s="1425"/>
      <c r="I637" s="1425"/>
      <c r="J637" s="1425"/>
      <c r="K637" s="1425"/>
      <c r="L637" s="1425"/>
      <c r="M637" s="1517" t="s">
        <v>2070</v>
      </c>
      <c r="N637" s="1517"/>
      <c r="O637" s="1517"/>
      <c r="P637" s="1517"/>
      <c r="Q637" s="1522"/>
      <c r="R637" s="1479"/>
      <c r="S637" s="1523"/>
      <c r="T637" s="1522"/>
      <c r="U637" s="1479"/>
      <c r="V637" s="1523"/>
      <c r="W637" s="1325"/>
      <c r="X637" s="1326"/>
      <c r="Y637" s="1327"/>
      <c r="Z637" s="1421" t="s">
        <v>300</v>
      </c>
      <c r="AA637" s="1422"/>
      <c r="AB637" s="1423"/>
      <c r="AC637" s="1409"/>
      <c r="AD637" s="1410"/>
      <c r="AE637" s="1411"/>
      <c r="AF637" s="1514"/>
      <c r="AG637" s="1515"/>
      <c r="AH637" s="1515"/>
      <c r="AI637" s="1515"/>
      <c r="AJ637" s="1516"/>
      <c r="AK637" s="1308"/>
      <c r="AL637" s="1309"/>
      <c r="AM637" s="1309"/>
      <c r="AN637" s="1310"/>
      <c r="AO637" s="1420">
        <v>1000000</v>
      </c>
      <c r="AP637" s="1272"/>
      <c r="AQ637" s="1272"/>
      <c r="AR637" s="1272"/>
      <c r="AS637" s="1273"/>
      <c r="AT637" s="1142" t="str">
        <f t="shared" ref="AT637:AT646" si="3">IF(AND(NOT(C636=""),C637="",NOT(C638="")),"!","")</f>
        <v/>
      </c>
      <c r="AU637" s="3"/>
      <c r="AZ637" s="3"/>
      <c r="BA637" s="3"/>
      <c r="BB637" s="3"/>
      <c r="BC637" s="3"/>
      <c r="BD637" s="3"/>
    </row>
    <row r="638" spans="1:56" ht="12.95" customHeight="1">
      <c r="B638" s="52" t="s">
        <v>581</v>
      </c>
      <c r="C638" s="1425" t="s">
        <v>2261</v>
      </c>
      <c r="D638" s="1521"/>
      <c r="E638" s="1521"/>
      <c r="F638" s="1521"/>
      <c r="G638" s="1521"/>
      <c r="H638" s="1521"/>
      <c r="I638" s="1521"/>
      <c r="J638" s="1521"/>
      <c r="K638" s="1521"/>
      <c r="L638" s="1521"/>
      <c r="M638" s="1517" t="s">
        <v>2061</v>
      </c>
      <c r="N638" s="1517"/>
      <c r="O638" s="1517"/>
      <c r="P638" s="1517"/>
      <c r="Q638" s="1522"/>
      <c r="R638" s="1479"/>
      <c r="S638" s="1523"/>
      <c r="T638" s="1522"/>
      <c r="U638" s="1479"/>
      <c r="V638" s="1523"/>
      <c r="W638" s="1325"/>
      <c r="X638" s="1326"/>
      <c r="Y638" s="1327"/>
      <c r="Z638" s="1421" t="s">
        <v>458</v>
      </c>
      <c r="AA638" s="1422"/>
      <c r="AB638" s="1423"/>
      <c r="AC638" s="1409"/>
      <c r="AD638" s="1410"/>
      <c r="AE638" s="1411"/>
      <c r="AF638" s="1514"/>
      <c r="AG638" s="1515"/>
      <c r="AH638" s="1515"/>
      <c r="AI638" s="1515"/>
      <c r="AJ638" s="1516"/>
      <c r="AK638" s="1308"/>
      <c r="AL638" s="1309"/>
      <c r="AM638" s="1309"/>
      <c r="AN638" s="1310"/>
      <c r="AO638" s="1420">
        <v>2603448</v>
      </c>
      <c r="AP638" s="1272"/>
      <c r="AQ638" s="1272"/>
      <c r="AR638" s="1272"/>
      <c r="AS638" s="1273"/>
      <c r="AT638" s="1142" t="str">
        <f t="shared" si="3"/>
        <v/>
      </c>
      <c r="AU638" s="3"/>
      <c r="AZ638" s="3"/>
      <c r="BA638" s="3"/>
      <c r="BB638" s="3"/>
      <c r="BC638" s="3"/>
      <c r="BD638" s="3"/>
    </row>
    <row r="639" spans="1:56" ht="12.95" customHeight="1">
      <c r="B639" s="52" t="s">
        <v>763</v>
      </c>
      <c r="C639" s="1521"/>
      <c r="D639" s="1521"/>
      <c r="E639" s="1521"/>
      <c r="F639" s="1521"/>
      <c r="G639" s="1521"/>
      <c r="H639" s="1521"/>
      <c r="I639" s="1521"/>
      <c r="J639" s="1521"/>
      <c r="K639" s="1521"/>
      <c r="L639" s="1521"/>
      <c r="M639" s="1517" t="s">
        <v>1184</v>
      </c>
      <c r="N639" s="1517"/>
      <c r="O639" s="1517"/>
      <c r="P639" s="1517"/>
      <c r="Q639" s="1522"/>
      <c r="R639" s="1479"/>
      <c r="S639" s="1523"/>
      <c r="T639" s="1522"/>
      <c r="U639" s="1479"/>
      <c r="V639" s="1523"/>
      <c r="W639" s="1325"/>
      <c r="X639" s="1326"/>
      <c r="Y639" s="1327"/>
      <c r="Z639" s="1421" t="s">
        <v>1184</v>
      </c>
      <c r="AA639" s="1422"/>
      <c r="AB639" s="1423"/>
      <c r="AC639" s="1409"/>
      <c r="AD639" s="1410"/>
      <c r="AE639" s="1411"/>
      <c r="AF639" s="1514"/>
      <c r="AG639" s="1515"/>
      <c r="AH639" s="1515"/>
      <c r="AI639" s="1515"/>
      <c r="AJ639" s="1516"/>
      <c r="AK639" s="1308"/>
      <c r="AL639" s="1309"/>
      <c r="AM639" s="1309"/>
      <c r="AN639" s="1310"/>
      <c r="AO639" s="1420"/>
      <c r="AP639" s="1272"/>
      <c r="AQ639" s="1272"/>
      <c r="AR639" s="1272"/>
      <c r="AS639" s="1273"/>
      <c r="AT639" s="1142" t="str">
        <f t="shared" si="3"/>
        <v/>
      </c>
      <c r="AU639" s="3"/>
      <c r="AZ639" s="3"/>
      <c r="BA639" s="3"/>
      <c r="BB639" s="3"/>
      <c r="BC639" s="3"/>
      <c r="BD639" s="3"/>
    </row>
    <row r="640" spans="1:56" ht="12.95" customHeight="1">
      <c r="B640" s="52" t="s">
        <v>584</v>
      </c>
      <c r="C640" s="1521"/>
      <c r="D640" s="1521"/>
      <c r="E640" s="1521"/>
      <c r="F640" s="1521"/>
      <c r="G640" s="1521"/>
      <c r="H640" s="1521"/>
      <c r="I640" s="1521"/>
      <c r="J640" s="1521"/>
      <c r="K640" s="1521"/>
      <c r="L640" s="1521"/>
      <c r="M640" s="1517" t="s">
        <v>1184</v>
      </c>
      <c r="N640" s="1517"/>
      <c r="O640" s="1517"/>
      <c r="P640" s="1517"/>
      <c r="Q640" s="1522"/>
      <c r="R640" s="1479"/>
      <c r="S640" s="1523"/>
      <c r="T640" s="1522"/>
      <c r="U640" s="1479"/>
      <c r="V640" s="1523"/>
      <c r="W640" s="1325"/>
      <c r="X640" s="1326"/>
      <c r="Y640" s="1327"/>
      <c r="Z640" s="1421" t="s">
        <v>1184</v>
      </c>
      <c r="AA640" s="1422"/>
      <c r="AB640" s="1423"/>
      <c r="AC640" s="1409"/>
      <c r="AD640" s="1410"/>
      <c r="AE640" s="1411"/>
      <c r="AF640" s="1514"/>
      <c r="AG640" s="1515"/>
      <c r="AH640" s="1515"/>
      <c r="AI640" s="1515"/>
      <c r="AJ640" s="1516"/>
      <c r="AK640" s="1308"/>
      <c r="AL640" s="1309"/>
      <c r="AM640" s="1309"/>
      <c r="AN640" s="1310"/>
      <c r="AO640" s="1420"/>
      <c r="AP640" s="1272"/>
      <c r="AQ640" s="1272"/>
      <c r="AR640" s="1272"/>
      <c r="AS640" s="1273"/>
      <c r="AT640" s="1142" t="str">
        <f t="shared" si="3"/>
        <v/>
      </c>
      <c r="AU640" s="3"/>
      <c r="AZ640" s="3"/>
      <c r="BA640" s="3"/>
      <c r="BB640" s="3"/>
      <c r="BC640" s="3"/>
      <c r="BD640" s="3"/>
    </row>
    <row r="641" spans="1:157" ht="12.95" customHeight="1">
      <c r="B641" s="52" t="s">
        <v>455</v>
      </c>
      <c r="C641" s="1521"/>
      <c r="D641" s="1521"/>
      <c r="E641" s="1521"/>
      <c r="F641" s="1521"/>
      <c r="G641" s="1521"/>
      <c r="H641" s="1521"/>
      <c r="I641" s="1521"/>
      <c r="J641" s="1521"/>
      <c r="K641" s="1521"/>
      <c r="L641" s="1521"/>
      <c r="M641" s="1517" t="s">
        <v>1184</v>
      </c>
      <c r="N641" s="1517"/>
      <c r="O641" s="1517"/>
      <c r="P641" s="1517"/>
      <c r="Q641" s="1522"/>
      <c r="R641" s="1479"/>
      <c r="S641" s="1523"/>
      <c r="T641" s="1522"/>
      <c r="U641" s="1479"/>
      <c r="V641" s="1523"/>
      <c r="W641" s="1325"/>
      <c r="X641" s="1326"/>
      <c r="Y641" s="1327"/>
      <c r="Z641" s="1421" t="s">
        <v>1184</v>
      </c>
      <c r="AA641" s="1422"/>
      <c r="AB641" s="1423"/>
      <c r="AC641" s="1409"/>
      <c r="AD641" s="1410"/>
      <c r="AE641" s="1411"/>
      <c r="AF641" s="1514"/>
      <c r="AG641" s="1515"/>
      <c r="AH641" s="1515"/>
      <c r="AI641" s="1515"/>
      <c r="AJ641" s="1516"/>
      <c r="AK641" s="1308"/>
      <c r="AL641" s="1309"/>
      <c r="AM641" s="1309"/>
      <c r="AN641" s="1310"/>
      <c r="AO641" s="1420"/>
      <c r="AP641" s="1272"/>
      <c r="AQ641" s="1272"/>
      <c r="AR641" s="1272"/>
      <c r="AS641" s="1273"/>
      <c r="AT641" s="1142" t="str">
        <f t="shared" si="3"/>
        <v/>
      </c>
      <c r="AU641" s="3"/>
      <c r="AV641" s="3"/>
      <c r="AW641" s="3"/>
      <c r="AX641" s="3"/>
      <c r="AY641" s="3"/>
      <c r="AZ641" s="3"/>
      <c r="BA641" s="3"/>
      <c r="BB641" s="3"/>
      <c r="BC641" s="3"/>
      <c r="BD641" s="3"/>
    </row>
    <row r="642" spans="1:157" ht="12.95" customHeight="1">
      <c r="B642" s="52" t="s">
        <v>456</v>
      </c>
      <c r="C642" s="1521"/>
      <c r="D642" s="1521"/>
      <c r="E642" s="1521"/>
      <c r="F642" s="1521"/>
      <c r="G642" s="1521"/>
      <c r="H642" s="1521"/>
      <c r="I642" s="1521"/>
      <c r="J642" s="1521"/>
      <c r="K642" s="1521"/>
      <c r="L642" s="1521"/>
      <c r="M642" s="1517" t="s">
        <v>1184</v>
      </c>
      <c r="N642" s="1517"/>
      <c r="O642" s="1517"/>
      <c r="P642" s="1517"/>
      <c r="Q642" s="1522"/>
      <c r="R642" s="1479"/>
      <c r="S642" s="1523"/>
      <c r="T642" s="1522"/>
      <c r="U642" s="1479"/>
      <c r="V642" s="1523"/>
      <c r="W642" s="1325"/>
      <c r="X642" s="1326"/>
      <c r="Y642" s="1327"/>
      <c r="Z642" s="1421" t="s">
        <v>1184</v>
      </c>
      <c r="AA642" s="1422"/>
      <c r="AB642" s="1423"/>
      <c r="AC642" s="1409"/>
      <c r="AD642" s="1410"/>
      <c r="AE642" s="1411"/>
      <c r="AF642" s="1514"/>
      <c r="AG642" s="1515"/>
      <c r="AH642" s="1515"/>
      <c r="AI642" s="1515"/>
      <c r="AJ642" s="1516"/>
      <c r="AK642" s="1308"/>
      <c r="AL642" s="1309"/>
      <c r="AM642" s="1309"/>
      <c r="AN642" s="1310"/>
      <c r="AO642" s="1420"/>
      <c r="AP642" s="1272"/>
      <c r="AQ642" s="1272"/>
      <c r="AR642" s="1272"/>
      <c r="AS642" s="1273"/>
      <c r="AT642" s="1142" t="str">
        <f t="shared" si="3"/>
        <v/>
      </c>
      <c r="AU642" s="3"/>
      <c r="AV642" s="3"/>
      <c r="AW642" s="3"/>
      <c r="AX642" s="3"/>
      <c r="AY642" s="3"/>
      <c r="AZ642" s="3"/>
      <c r="BA642" s="3" t="s">
        <v>1184</v>
      </c>
      <c r="BB642" s="3"/>
      <c r="BC642" s="3"/>
      <c r="BD642" s="3"/>
    </row>
    <row r="643" spans="1:157" ht="12.95" customHeight="1">
      <c r="B643" s="52" t="s">
        <v>461</v>
      </c>
      <c r="C643" s="1521"/>
      <c r="D643" s="1521"/>
      <c r="E643" s="1521"/>
      <c r="F643" s="1521"/>
      <c r="G643" s="1521"/>
      <c r="H643" s="1521"/>
      <c r="I643" s="1521"/>
      <c r="J643" s="1521"/>
      <c r="K643" s="1521"/>
      <c r="L643" s="1521"/>
      <c r="M643" s="1517" t="s">
        <v>1184</v>
      </c>
      <c r="N643" s="1517"/>
      <c r="O643" s="1517"/>
      <c r="P643" s="1517"/>
      <c r="Q643" s="1522"/>
      <c r="R643" s="1479"/>
      <c r="S643" s="1523"/>
      <c r="T643" s="1522"/>
      <c r="U643" s="1479"/>
      <c r="V643" s="1523"/>
      <c r="W643" s="1325"/>
      <c r="X643" s="1326"/>
      <c r="Y643" s="1327"/>
      <c r="Z643" s="1421" t="s">
        <v>1184</v>
      </c>
      <c r="AA643" s="1422"/>
      <c r="AB643" s="1423"/>
      <c r="AC643" s="1409"/>
      <c r="AD643" s="1410"/>
      <c r="AE643" s="1411"/>
      <c r="AF643" s="1514"/>
      <c r="AG643" s="1515"/>
      <c r="AH643" s="1515"/>
      <c r="AI643" s="1515"/>
      <c r="AJ643" s="1516"/>
      <c r="AK643" s="1308"/>
      <c r="AL643" s="1309"/>
      <c r="AM643" s="1309"/>
      <c r="AN643" s="1310"/>
      <c r="AO643" s="1420"/>
      <c r="AP643" s="1272"/>
      <c r="AQ643" s="1272"/>
      <c r="AR643" s="1272"/>
      <c r="AS643" s="1273"/>
      <c r="AT643" s="1142" t="str">
        <f t="shared" si="3"/>
        <v/>
      </c>
      <c r="AU643" s="3"/>
      <c r="AV643" s="3"/>
      <c r="AW643" s="3"/>
      <c r="AX643" s="3"/>
      <c r="AY643" s="3"/>
      <c r="AZ643" s="34"/>
      <c r="BA643" s="3" t="s">
        <v>458</v>
      </c>
      <c r="BB643" s="34"/>
      <c r="BC643" s="34"/>
      <c r="BD643" s="34"/>
      <c r="BE643" s="34"/>
      <c r="BF643" s="34"/>
      <c r="BG643" s="34"/>
      <c r="BH643" s="34"/>
      <c r="BI643" s="34"/>
      <c r="BJ643" s="34"/>
      <c r="BK643" s="34"/>
      <c r="BL643" s="34"/>
      <c r="BM643" s="34"/>
      <c r="CR643" s="6"/>
      <c r="CS643" s="3"/>
      <c r="CT643" s="3"/>
      <c r="CU643" s="3"/>
      <c r="CV643" s="3"/>
      <c r="CW643" s="3"/>
      <c r="CX643" s="3"/>
      <c r="CY643" s="3"/>
      <c r="CZ643" s="3"/>
      <c r="DA643" s="3"/>
      <c r="DB643" s="3"/>
      <c r="DC643" s="3"/>
      <c r="DD643" s="3"/>
      <c r="DE643" s="3"/>
      <c r="DF643" s="3"/>
      <c r="DX643" s="1307">
        <f t="shared" ref="DX643:DX677" si="4">EZ726*(CP726/$CP$761)</f>
        <v>826</v>
      </c>
      <c r="DY643" s="1307"/>
      <c r="DZ643" s="1307"/>
      <c r="EA643" s="1307"/>
      <c r="EB643" s="1307"/>
      <c r="EC643" s="1307" t="e">
        <f t="shared" ref="EC643:EC677" si="5">FE726*(CU726/$CU$761)</f>
        <v>#VALUE!</v>
      </c>
      <c r="ED643" s="1307"/>
      <c r="EE643" s="1307"/>
      <c r="EF643" s="1307"/>
      <c r="EG643" s="1307"/>
      <c r="EH643" s="1307" t="e">
        <f t="shared" ref="EH643:EH677" si="6">FJ726*(CZ726/$CZ$761)</f>
        <v>#VALUE!</v>
      </c>
      <c r="EI643" s="1307"/>
      <c r="EJ643" s="1307"/>
      <c r="EK643" s="1307"/>
      <c r="EL643" s="1307"/>
      <c r="EM643" s="1307" t="e">
        <f t="shared" ref="EM643:EM677" si="7">FO726*(DE726/$DE$761)</f>
        <v>#VALUE!</v>
      </c>
      <c r="EN643" s="1307"/>
      <c r="EO643" s="1307"/>
      <c r="EP643" s="1307"/>
      <c r="EQ643" s="1307"/>
      <c r="ER643" s="1307" t="e">
        <f t="shared" ref="ER643:ER677" si="8">FT726*(DJ726/$DJ$761)</f>
        <v>#VALUE!</v>
      </c>
      <c r="ES643" s="1307"/>
      <c r="ET643" s="1307"/>
      <c r="EU643" s="1307"/>
      <c r="EV643" s="1307"/>
      <c r="EW643" s="1307" t="e">
        <f t="shared" ref="EW643:EW677" si="9">FY726*(DO726/$DO$761)</f>
        <v>#VALUE!</v>
      </c>
      <c r="EX643" s="1307"/>
      <c r="EY643" s="1307"/>
      <c r="EZ643" s="1307"/>
      <c r="FA643" s="1307"/>
    </row>
    <row r="644" spans="1:157" ht="12.95" customHeight="1">
      <c r="B644" s="52" t="s">
        <v>646</v>
      </c>
      <c r="C644" s="1521"/>
      <c r="D644" s="1521"/>
      <c r="E644" s="1521"/>
      <c r="F644" s="1521"/>
      <c r="G644" s="1521"/>
      <c r="H644" s="1521"/>
      <c r="I644" s="1521"/>
      <c r="J644" s="1521"/>
      <c r="K644" s="1521"/>
      <c r="L644" s="1521"/>
      <c r="M644" s="1517" t="s">
        <v>1184</v>
      </c>
      <c r="N644" s="1517"/>
      <c r="O644" s="1517"/>
      <c r="P644" s="1517"/>
      <c r="Q644" s="1522"/>
      <c r="R644" s="1479"/>
      <c r="S644" s="1523"/>
      <c r="T644" s="1522"/>
      <c r="U644" s="1479"/>
      <c r="V644" s="1523"/>
      <c r="W644" s="1325"/>
      <c r="X644" s="1326"/>
      <c r="Y644" s="1327"/>
      <c r="Z644" s="1421" t="s">
        <v>1184</v>
      </c>
      <c r="AA644" s="1422"/>
      <c r="AB644" s="1423"/>
      <c r="AC644" s="1409"/>
      <c r="AD644" s="1410"/>
      <c r="AE644" s="1411"/>
      <c r="AF644" s="1514"/>
      <c r="AG644" s="1515"/>
      <c r="AH644" s="1515"/>
      <c r="AI644" s="1515"/>
      <c r="AJ644" s="1516"/>
      <c r="AK644" s="1308"/>
      <c r="AL644" s="1309"/>
      <c r="AM644" s="1309"/>
      <c r="AN644" s="1310"/>
      <c r="AO644" s="1420"/>
      <c r="AP644" s="1272"/>
      <c r="AQ644" s="1272"/>
      <c r="AR644" s="1272"/>
      <c r="AS644" s="1273"/>
      <c r="AT644" s="1142" t="str">
        <f t="shared" si="3"/>
        <v/>
      </c>
      <c r="AV644" s="3"/>
      <c r="AW644" s="3"/>
      <c r="AX644" s="3"/>
      <c r="AY644" s="3"/>
      <c r="AZ644" s="34"/>
      <c r="BA644" s="3" t="s">
        <v>457</v>
      </c>
      <c r="BB644" s="34"/>
      <c r="BC644" s="34"/>
      <c r="BD644" s="34"/>
      <c r="BE644" s="34"/>
      <c r="BF644" s="34"/>
      <c r="BG644" s="34"/>
      <c r="BH644" s="34"/>
      <c r="BI644" s="34"/>
      <c r="BJ644" s="34"/>
      <c r="BK644" s="34"/>
      <c r="BL644" s="34"/>
      <c r="BM644" s="34"/>
      <c r="DA644" s="3"/>
      <c r="DB644" s="3"/>
      <c r="DC644" s="3"/>
      <c r="DD644" s="3"/>
      <c r="DE644" s="3"/>
      <c r="DF644" s="3"/>
      <c r="DX644" s="1307" t="e">
        <f t="shared" si="4"/>
        <v>#VALUE!</v>
      </c>
      <c r="DY644" s="1307"/>
      <c r="DZ644" s="1307"/>
      <c r="EA644" s="1307"/>
      <c r="EB644" s="1307"/>
      <c r="EC644" s="1307">
        <f t="shared" si="5"/>
        <v>110.75</v>
      </c>
      <c r="ED644" s="1307"/>
      <c r="EE644" s="1307"/>
      <c r="EF644" s="1307"/>
      <c r="EG644" s="1307"/>
      <c r="EH644" s="1307" t="e">
        <f t="shared" si="6"/>
        <v>#VALUE!</v>
      </c>
      <c r="EI644" s="1307"/>
      <c r="EJ644" s="1307"/>
      <c r="EK644" s="1307"/>
      <c r="EL644" s="1307"/>
      <c r="EM644" s="1307" t="e">
        <f t="shared" si="7"/>
        <v>#VALUE!</v>
      </c>
      <c r="EN644" s="1307"/>
      <c r="EO644" s="1307"/>
      <c r="EP644" s="1307"/>
      <c r="EQ644" s="1307"/>
      <c r="ER644" s="1307" t="e">
        <f t="shared" si="8"/>
        <v>#VALUE!</v>
      </c>
      <c r="ES644" s="1307"/>
      <c r="ET644" s="1307"/>
      <c r="EU644" s="1307"/>
      <c r="EV644" s="1307"/>
      <c r="EW644" s="1307" t="e">
        <f t="shared" si="9"/>
        <v>#VALUE!</v>
      </c>
      <c r="EX644" s="1307"/>
      <c r="EY644" s="1307"/>
      <c r="EZ644" s="1307"/>
      <c r="FA644" s="1307"/>
    </row>
    <row r="645" spans="1:157" ht="12.95" customHeight="1">
      <c r="B645" s="52" t="s">
        <v>362</v>
      </c>
      <c r="C645" s="1521"/>
      <c r="D645" s="1521"/>
      <c r="E645" s="1521"/>
      <c r="F645" s="1521"/>
      <c r="G645" s="1521"/>
      <c r="H645" s="1521"/>
      <c r="I645" s="1521"/>
      <c r="J645" s="1521"/>
      <c r="K645" s="1521"/>
      <c r="L645" s="1521"/>
      <c r="M645" s="1517" t="s">
        <v>1184</v>
      </c>
      <c r="N645" s="1517"/>
      <c r="O645" s="1517"/>
      <c r="P645" s="1517"/>
      <c r="Q645" s="1522"/>
      <c r="R645" s="1479"/>
      <c r="S645" s="1523"/>
      <c r="T645" s="1522"/>
      <c r="U645" s="1479"/>
      <c r="V645" s="1523"/>
      <c r="W645" s="1325"/>
      <c r="X645" s="1326"/>
      <c r="Y645" s="1327"/>
      <c r="Z645" s="1421" t="s">
        <v>1184</v>
      </c>
      <c r="AA645" s="1422"/>
      <c r="AB645" s="1423"/>
      <c r="AC645" s="1409"/>
      <c r="AD645" s="1410"/>
      <c r="AE645" s="1411"/>
      <c r="AF645" s="1514"/>
      <c r="AG645" s="1515"/>
      <c r="AH645" s="1515"/>
      <c r="AI645" s="1515"/>
      <c r="AJ645" s="1516"/>
      <c r="AK645" s="1308"/>
      <c r="AL645" s="1309"/>
      <c r="AM645" s="1309"/>
      <c r="AN645" s="1310"/>
      <c r="AO645" s="1420"/>
      <c r="AP645" s="1272"/>
      <c r="AQ645" s="1272"/>
      <c r="AR645" s="1272"/>
      <c r="AS645" s="1273"/>
      <c r="AT645" s="1142" t="str">
        <f t="shared" si="3"/>
        <v/>
      </c>
      <c r="AV645" s="3"/>
      <c r="AW645" s="3"/>
      <c r="AX645" s="3"/>
      <c r="AY645" s="3"/>
      <c r="AZ645" s="34"/>
      <c r="BA645" s="3" t="s">
        <v>2086</v>
      </c>
      <c r="BB645" s="34"/>
      <c r="BC645" s="34"/>
      <c r="BD645" s="34"/>
      <c r="BE645" s="34"/>
      <c r="BF645" s="34"/>
      <c r="BG645" s="34"/>
      <c r="BH645" s="34"/>
      <c r="BI645" s="34"/>
      <c r="BJ645" s="34"/>
      <c r="BK645" s="34"/>
      <c r="BL645" s="34"/>
      <c r="BM645" s="34"/>
      <c r="DA645" s="3"/>
      <c r="DB645" s="3"/>
      <c r="DC645" s="3"/>
      <c r="DD645" s="3"/>
      <c r="DE645" s="3"/>
      <c r="DF645" s="3"/>
      <c r="DX645" s="1307" t="e">
        <f t="shared" si="4"/>
        <v>#VALUE!</v>
      </c>
      <c r="DY645" s="1307"/>
      <c r="DZ645" s="1307"/>
      <c r="EA645" s="1307"/>
      <c r="EB645" s="1307"/>
      <c r="EC645" s="1307">
        <f t="shared" si="5"/>
        <v>118.60000000000001</v>
      </c>
      <c r="ED645" s="1307"/>
      <c r="EE645" s="1307"/>
      <c r="EF645" s="1307"/>
      <c r="EG645" s="1307"/>
      <c r="EH645" s="1307" t="e">
        <f t="shared" si="6"/>
        <v>#VALUE!</v>
      </c>
      <c r="EI645" s="1307"/>
      <c r="EJ645" s="1307"/>
      <c r="EK645" s="1307"/>
      <c r="EL645" s="1307"/>
      <c r="EM645" s="1307" t="e">
        <f t="shared" si="7"/>
        <v>#VALUE!</v>
      </c>
      <c r="EN645" s="1307"/>
      <c r="EO645" s="1307"/>
      <c r="EP645" s="1307"/>
      <c r="EQ645" s="1307"/>
      <c r="ER645" s="1307" t="e">
        <f t="shared" si="8"/>
        <v>#VALUE!</v>
      </c>
      <c r="ES645" s="1307"/>
      <c r="ET645" s="1307"/>
      <c r="EU645" s="1307"/>
      <c r="EV645" s="1307"/>
      <c r="EW645" s="1307" t="e">
        <f t="shared" si="9"/>
        <v>#VALUE!</v>
      </c>
      <c r="EX645" s="1307"/>
      <c r="EY645" s="1307"/>
      <c r="EZ645" s="1307"/>
      <c r="FA645" s="1307"/>
    </row>
    <row r="646" spans="1:157" ht="12.95" customHeight="1">
      <c r="B646" s="52" t="s">
        <v>363</v>
      </c>
      <c r="C646" s="1521"/>
      <c r="D646" s="1521"/>
      <c r="E646" s="1521"/>
      <c r="F646" s="1521"/>
      <c r="G646" s="1521"/>
      <c r="H646" s="1521"/>
      <c r="I646" s="1521"/>
      <c r="J646" s="1521"/>
      <c r="K646" s="1521"/>
      <c r="L646" s="1521"/>
      <c r="M646" s="1517" t="s">
        <v>1184</v>
      </c>
      <c r="N646" s="1517"/>
      <c r="O646" s="1517"/>
      <c r="P646" s="1517"/>
      <c r="Q646" s="1522"/>
      <c r="R646" s="1479"/>
      <c r="S646" s="1523"/>
      <c r="T646" s="1522"/>
      <c r="U646" s="1479"/>
      <c r="V646" s="1523"/>
      <c r="W646" s="1325"/>
      <c r="X646" s="1326"/>
      <c r="Y646" s="1327"/>
      <c r="Z646" s="1421" t="s">
        <v>1184</v>
      </c>
      <c r="AA646" s="1422"/>
      <c r="AB646" s="1423"/>
      <c r="AC646" s="1409"/>
      <c r="AD646" s="1410"/>
      <c r="AE646" s="1411"/>
      <c r="AF646" s="1514"/>
      <c r="AG646" s="1515"/>
      <c r="AH646" s="1515"/>
      <c r="AI646" s="1515"/>
      <c r="AJ646" s="1516"/>
      <c r="AK646" s="1308"/>
      <c r="AL646" s="1309"/>
      <c r="AM646" s="1309"/>
      <c r="AN646" s="1310"/>
      <c r="AO646" s="1420"/>
      <c r="AP646" s="1272"/>
      <c r="AQ646" s="1272"/>
      <c r="AR646" s="1272"/>
      <c r="AS646" s="1273"/>
      <c r="AT646" s="1142" t="str">
        <f t="shared" si="3"/>
        <v/>
      </c>
      <c r="AV646" s="3"/>
      <c r="AW646" s="3"/>
      <c r="AX646" s="3"/>
      <c r="AY646" s="3"/>
      <c r="AZ646" s="34"/>
      <c r="BA646" s="3" t="s">
        <v>300</v>
      </c>
      <c r="BB646" s="34"/>
      <c r="BC646" s="34"/>
      <c r="BD646" s="34"/>
      <c r="BE646" s="34"/>
      <c r="BF646" s="34"/>
      <c r="BG646" s="34"/>
      <c r="BH646" s="34"/>
      <c r="BI646" s="34"/>
      <c r="BJ646" s="34"/>
      <c r="BK646" s="34"/>
      <c r="BL646" s="34"/>
      <c r="BM646" s="34"/>
      <c r="DA646" s="3"/>
      <c r="DB646" s="3"/>
      <c r="DC646" s="3"/>
      <c r="DD646" s="3"/>
      <c r="DE646" s="3"/>
      <c r="DF646" s="3"/>
      <c r="DX646" s="1307" t="e">
        <f t="shared" si="4"/>
        <v>#VALUE!</v>
      </c>
      <c r="DY646" s="1307"/>
      <c r="DZ646" s="1307"/>
      <c r="EA646" s="1307"/>
      <c r="EB646" s="1307"/>
      <c r="EC646" s="1307">
        <f t="shared" si="5"/>
        <v>185.625</v>
      </c>
      <c r="ED646" s="1307"/>
      <c r="EE646" s="1307"/>
      <c r="EF646" s="1307"/>
      <c r="EG646" s="1307"/>
      <c r="EH646" s="1307" t="e">
        <f t="shared" si="6"/>
        <v>#VALUE!</v>
      </c>
      <c r="EI646" s="1307"/>
      <c r="EJ646" s="1307"/>
      <c r="EK646" s="1307"/>
      <c r="EL646" s="1307"/>
      <c r="EM646" s="1307" t="e">
        <f t="shared" si="7"/>
        <v>#VALUE!</v>
      </c>
      <c r="EN646" s="1307"/>
      <c r="EO646" s="1307"/>
      <c r="EP646" s="1307"/>
      <c r="EQ646" s="1307"/>
      <c r="ER646" s="1307" t="e">
        <f t="shared" si="8"/>
        <v>#VALUE!</v>
      </c>
      <c r="ES646" s="1307"/>
      <c r="ET646" s="1307"/>
      <c r="EU646" s="1307"/>
      <c r="EV646" s="1307"/>
      <c r="EW646" s="1307" t="e">
        <f t="shared" si="9"/>
        <v>#VALUE!</v>
      </c>
      <c r="EX646" s="1307"/>
      <c r="EY646" s="1307"/>
      <c r="EZ646" s="1307"/>
      <c r="FA646" s="1307"/>
    </row>
    <row r="647" spans="1:157" ht="12.95" customHeight="1">
      <c r="B647" s="1360" t="s">
        <v>128</v>
      </c>
      <c r="C647" s="1361"/>
      <c r="D647" s="1361"/>
      <c r="E647" s="1361"/>
      <c r="F647" s="1361"/>
      <c r="G647" s="1361"/>
      <c r="H647" s="1361"/>
      <c r="I647" s="1361"/>
      <c r="J647" s="1361"/>
      <c r="K647" s="1361"/>
      <c r="L647" s="1361"/>
      <c r="M647" s="1361"/>
      <c r="N647" s="1361"/>
      <c r="O647" s="1361"/>
      <c r="P647" s="1361"/>
      <c r="Q647" s="1361"/>
      <c r="R647" s="1361"/>
      <c r="S647" s="1361"/>
      <c r="T647" s="1361"/>
      <c r="U647" s="1361"/>
      <c r="V647" s="1361"/>
      <c r="W647" s="1361"/>
      <c r="X647" s="1361"/>
      <c r="Y647" s="1361"/>
      <c r="Z647" s="1361"/>
      <c r="AA647" s="1361"/>
      <c r="AB647" s="1361"/>
      <c r="AC647" s="1361"/>
      <c r="AD647" s="1361"/>
      <c r="AE647" s="1361"/>
      <c r="AF647" s="1361"/>
      <c r="AG647" s="1361"/>
      <c r="AH647" s="1361"/>
      <c r="AI647" s="1361"/>
      <c r="AJ647" s="1361"/>
      <c r="AK647" s="1361"/>
      <c r="AL647" s="1361"/>
      <c r="AM647" s="1361"/>
      <c r="AN647" s="1363"/>
      <c r="AO647" s="1417">
        <f>SUM(AO635:AR646)</f>
        <v>12880324</v>
      </c>
      <c r="AP647" s="1418"/>
      <c r="AQ647" s="1418"/>
      <c r="AR647" s="1418"/>
      <c r="AS647" s="1419"/>
      <c r="AV647" s="3"/>
      <c r="AW647" s="3"/>
      <c r="AX647" s="3"/>
      <c r="AY647" s="3"/>
      <c r="AZ647" s="34"/>
      <c r="BA647" s="34"/>
      <c r="BB647" s="34"/>
      <c r="BC647" s="34"/>
      <c r="BD647" s="34"/>
      <c r="BE647" s="34"/>
      <c r="BF647" s="34"/>
      <c r="BG647" s="34"/>
      <c r="BH647" s="34"/>
      <c r="BI647" s="34"/>
      <c r="BJ647" s="34"/>
      <c r="BK647" s="34"/>
      <c r="BL647" s="34"/>
      <c r="BM647" s="34"/>
      <c r="DA647" s="3"/>
      <c r="DB647" s="3"/>
      <c r="DC647" s="3"/>
      <c r="DD647" s="3"/>
      <c r="DE647" s="3"/>
      <c r="DF647" s="3"/>
      <c r="DX647" s="1307" t="e">
        <f t="shared" si="4"/>
        <v>#VALUE!</v>
      </c>
      <c r="DY647" s="1307"/>
      <c r="DZ647" s="1307"/>
      <c r="EA647" s="1307"/>
      <c r="EB647" s="1307"/>
      <c r="EC647" s="1307">
        <f t="shared" si="5"/>
        <v>446.25</v>
      </c>
      <c r="ED647" s="1307"/>
      <c r="EE647" s="1307"/>
      <c r="EF647" s="1307"/>
      <c r="EG647" s="1307"/>
      <c r="EH647" s="1307" t="e">
        <f t="shared" si="6"/>
        <v>#VALUE!</v>
      </c>
      <c r="EI647" s="1307"/>
      <c r="EJ647" s="1307"/>
      <c r="EK647" s="1307"/>
      <c r="EL647" s="1307"/>
      <c r="EM647" s="1307" t="e">
        <f t="shared" si="7"/>
        <v>#VALUE!</v>
      </c>
      <c r="EN647" s="1307"/>
      <c r="EO647" s="1307"/>
      <c r="EP647" s="1307"/>
      <c r="EQ647" s="1307"/>
      <c r="ER647" s="1307" t="e">
        <f t="shared" si="8"/>
        <v>#VALUE!</v>
      </c>
      <c r="ES647" s="1307"/>
      <c r="ET647" s="1307"/>
      <c r="EU647" s="1307"/>
      <c r="EV647" s="1307"/>
      <c r="EW647" s="1307" t="e">
        <f t="shared" si="9"/>
        <v>#VALUE!</v>
      </c>
      <c r="EX647" s="1307"/>
      <c r="EY647" s="1307"/>
      <c r="EZ647" s="1307"/>
      <c r="FA647" s="1307"/>
    </row>
    <row r="648" spans="1:157" ht="12.95" customHeight="1">
      <c r="B648" s="1360" t="s">
        <v>267</v>
      </c>
      <c r="C648" s="1361"/>
      <c r="D648" s="1361"/>
      <c r="E648" s="1361"/>
      <c r="F648" s="1361"/>
      <c r="G648" s="1361"/>
      <c r="H648" s="1361"/>
      <c r="I648" s="1361"/>
      <c r="J648" s="1361"/>
      <c r="K648" s="1361"/>
      <c r="L648" s="1361"/>
      <c r="M648" s="1361"/>
      <c r="N648" s="1361"/>
      <c r="O648" s="1361"/>
      <c r="P648" s="1361"/>
      <c r="Q648" s="1361"/>
      <c r="R648" s="1361"/>
      <c r="S648" s="1361"/>
      <c r="T648" s="1361"/>
      <c r="U648" s="1361"/>
      <c r="V648" s="1361"/>
      <c r="W648" s="1361"/>
      <c r="X648" s="1361"/>
      <c r="Y648" s="1361"/>
      <c r="Z648" s="1361"/>
      <c r="AA648" s="1361"/>
      <c r="AB648" s="1361"/>
      <c r="AC648" s="1361"/>
      <c r="AD648" s="1361"/>
      <c r="AE648" s="1361"/>
      <c r="AF648" s="1361"/>
      <c r="AG648" s="1361"/>
      <c r="AH648" s="1361"/>
      <c r="AI648" s="1361"/>
      <c r="AJ648" s="1361"/>
      <c r="AK648" s="1361"/>
      <c r="AL648" s="1361"/>
      <c r="AM648" s="1361"/>
      <c r="AN648" s="1363"/>
      <c r="AO648" s="1420">
        <v>21302813</v>
      </c>
      <c r="AP648" s="1272"/>
      <c r="AQ648" s="1272"/>
      <c r="AR648" s="1272"/>
      <c r="AS648" s="1273"/>
      <c r="AV648" s="3"/>
      <c r="AW648" s="3"/>
      <c r="AX648" s="3"/>
      <c r="AY648" s="3"/>
      <c r="AZ648" s="34"/>
      <c r="BA648" s="34"/>
      <c r="BB648" s="34"/>
      <c r="BC648" s="34"/>
      <c r="BD648" s="34"/>
      <c r="BE648" s="34"/>
      <c r="BF648" s="34"/>
      <c r="BG648" s="34"/>
      <c r="BH648" s="34"/>
      <c r="BI648" s="34"/>
      <c r="BJ648" s="34"/>
      <c r="BK648" s="34"/>
      <c r="BL648" s="34"/>
      <c r="BM648" s="34"/>
      <c r="DA648" s="3"/>
      <c r="DB648" s="3"/>
      <c r="DC648" s="3"/>
      <c r="DD648" s="3"/>
      <c r="DE648" s="3"/>
      <c r="DF648" s="3"/>
      <c r="DX648" s="1307" t="e">
        <f t="shared" si="4"/>
        <v>#VALUE!</v>
      </c>
      <c r="DY648" s="1307"/>
      <c r="DZ648" s="1307"/>
      <c r="EA648" s="1307"/>
      <c r="EB648" s="1307"/>
      <c r="EC648" s="1307">
        <f t="shared" si="5"/>
        <v>842.80000000000007</v>
      </c>
      <c r="ED648" s="1307"/>
      <c r="EE648" s="1307"/>
      <c r="EF648" s="1307"/>
      <c r="EG648" s="1307"/>
      <c r="EH648" s="1307" t="e">
        <f t="shared" si="6"/>
        <v>#VALUE!</v>
      </c>
      <c r="EI648" s="1307"/>
      <c r="EJ648" s="1307"/>
      <c r="EK648" s="1307"/>
      <c r="EL648" s="1307"/>
      <c r="EM648" s="1307" t="e">
        <f t="shared" si="7"/>
        <v>#VALUE!</v>
      </c>
      <c r="EN648" s="1307"/>
      <c r="EO648" s="1307"/>
      <c r="EP648" s="1307"/>
      <c r="EQ648" s="1307"/>
      <c r="ER648" s="1307" t="e">
        <f t="shared" si="8"/>
        <v>#VALUE!</v>
      </c>
      <c r="ES648" s="1307"/>
      <c r="ET648" s="1307"/>
      <c r="EU648" s="1307"/>
      <c r="EV648" s="1307"/>
      <c r="EW648" s="1307" t="e">
        <f t="shared" si="9"/>
        <v>#VALUE!</v>
      </c>
      <c r="EX648" s="1307"/>
      <c r="EY648" s="1307"/>
      <c r="EZ648" s="1307"/>
      <c r="FA648" s="1307"/>
    </row>
    <row r="649" spans="1:157" ht="12.95" customHeight="1">
      <c r="B649" s="1607" t="s">
        <v>268</v>
      </c>
      <c r="C649" s="1362"/>
      <c r="D649" s="1362"/>
      <c r="E649" s="1362"/>
      <c r="F649" s="1362"/>
      <c r="G649" s="1362"/>
      <c r="H649" s="1362"/>
      <c r="I649" s="1362"/>
      <c r="J649" s="1362"/>
      <c r="K649" s="1362"/>
      <c r="L649" s="1362"/>
      <c r="M649" s="1362"/>
      <c r="N649" s="1362"/>
      <c r="O649" s="1362"/>
      <c r="P649" s="1362"/>
      <c r="Q649" s="1362"/>
      <c r="R649" s="1362"/>
      <c r="S649" s="1362"/>
      <c r="T649" s="1362"/>
      <c r="U649" s="1362"/>
      <c r="V649" s="1362"/>
      <c r="W649" s="1362"/>
      <c r="X649" s="1362"/>
      <c r="Y649" s="1362"/>
      <c r="Z649" s="1362"/>
      <c r="AA649" s="1362"/>
      <c r="AB649" s="1362"/>
      <c r="AC649" s="1362"/>
      <c r="AD649" s="1362"/>
      <c r="AE649" s="1362"/>
      <c r="AF649" s="1362"/>
      <c r="AG649" s="1362"/>
      <c r="AH649" s="1362"/>
      <c r="AI649" s="1362"/>
      <c r="AJ649" s="1362"/>
      <c r="AK649" s="1362"/>
      <c r="AL649" s="1362"/>
      <c r="AM649" s="1362"/>
      <c r="AN649" s="1608"/>
      <c r="AO649" s="1417">
        <f>AO647+AO648</f>
        <v>34183137</v>
      </c>
      <c r="AP649" s="1418"/>
      <c r="AQ649" s="1418"/>
      <c r="AR649" s="1418"/>
      <c r="AS649" s="1419"/>
      <c r="AV649" s="3"/>
      <c r="AW649" s="3"/>
      <c r="AX649" s="3"/>
      <c r="AY649" s="3"/>
      <c r="AZ649" s="34"/>
      <c r="BA649" s="34"/>
      <c r="BB649" s="34"/>
      <c r="BC649" s="34"/>
      <c r="BD649" s="34"/>
      <c r="BE649" s="34"/>
      <c r="BF649" s="34"/>
      <c r="BG649" s="34"/>
      <c r="BH649" s="34"/>
      <c r="BI649" s="34"/>
      <c r="BJ649" s="34"/>
      <c r="BK649" s="34"/>
      <c r="BL649" s="34"/>
      <c r="BM649" s="34"/>
      <c r="DA649" s="3"/>
      <c r="DB649" s="3"/>
      <c r="DC649" s="3"/>
      <c r="DD649" s="3"/>
      <c r="DE649" s="3"/>
      <c r="DF649" s="3"/>
      <c r="DX649" s="1307" t="e">
        <f t="shared" si="4"/>
        <v>#VALUE!</v>
      </c>
      <c r="DY649" s="1307"/>
      <c r="DZ649" s="1307"/>
      <c r="EA649" s="1307"/>
      <c r="EB649" s="1307"/>
      <c r="EC649" s="1307" t="e">
        <f t="shared" si="5"/>
        <v>#VALUE!</v>
      </c>
      <c r="ED649" s="1307"/>
      <c r="EE649" s="1307"/>
      <c r="EF649" s="1307"/>
      <c r="EG649" s="1307"/>
      <c r="EH649" s="1307">
        <f t="shared" si="6"/>
        <v>152.28571428571428</v>
      </c>
      <c r="EI649" s="1307"/>
      <c r="EJ649" s="1307"/>
      <c r="EK649" s="1307"/>
      <c r="EL649" s="1307"/>
      <c r="EM649" s="1307" t="e">
        <f t="shared" si="7"/>
        <v>#VALUE!</v>
      </c>
      <c r="EN649" s="1307"/>
      <c r="EO649" s="1307"/>
      <c r="EP649" s="1307"/>
      <c r="EQ649" s="1307"/>
      <c r="ER649" s="1307" t="e">
        <f t="shared" si="8"/>
        <v>#VALUE!</v>
      </c>
      <c r="ES649" s="1307"/>
      <c r="ET649" s="1307"/>
      <c r="EU649" s="1307"/>
      <c r="EV649" s="1307"/>
      <c r="EW649" s="1307" t="e">
        <f t="shared" si="9"/>
        <v>#VALUE!</v>
      </c>
      <c r="EX649" s="1307"/>
      <c r="EY649" s="1307"/>
      <c r="EZ649" s="1307"/>
      <c r="FA649" s="1307"/>
    </row>
    <row r="650" spans="1:157" ht="12.95" customHeight="1">
      <c r="B650" s="512"/>
      <c r="K650" s="56"/>
      <c r="L650" s="27"/>
      <c r="M650" s="27"/>
      <c r="N650" s="27"/>
      <c r="O650" s="27"/>
      <c r="P650" s="27"/>
      <c r="Q650" s="27"/>
      <c r="R650" s="27"/>
      <c r="AC650" s="56"/>
      <c r="AD650" s="27"/>
      <c r="AE650" s="27"/>
      <c r="AF650" s="27"/>
      <c r="AG650" s="27"/>
      <c r="AH650" s="27"/>
      <c r="AI650" s="27"/>
      <c r="AJ650" s="27"/>
      <c r="AV650" s="3"/>
      <c r="AW650" s="3"/>
      <c r="AX650" s="3"/>
      <c r="AY650" s="3"/>
      <c r="AZ650" s="34"/>
      <c r="BA650" s="34"/>
      <c r="BB650" s="34"/>
      <c r="BC650" s="34"/>
      <c r="BD650" s="34"/>
      <c r="BE650" s="34"/>
      <c r="BF650" s="34"/>
      <c r="BG650" s="34"/>
      <c r="BH650" s="34"/>
      <c r="BI650" s="34"/>
      <c r="BJ650" s="34"/>
      <c r="BK650" s="34"/>
      <c r="BL650" s="34"/>
      <c r="BM650" s="34"/>
      <c r="DA650" s="3"/>
      <c r="DB650" s="3"/>
      <c r="DC650" s="3"/>
      <c r="DD650" s="3"/>
      <c r="DE650" s="3"/>
      <c r="DF650" s="3"/>
      <c r="DX650" s="1307" t="e">
        <f t="shared" si="4"/>
        <v>#VALUE!</v>
      </c>
      <c r="DY650" s="1307"/>
      <c r="DZ650" s="1307"/>
      <c r="EA650" s="1307"/>
      <c r="EB650" s="1307"/>
      <c r="EC650" s="1307" t="e">
        <f t="shared" si="5"/>
        <v>#VALUE!</v>
      </c>
      <c r="ED650" s="1307"/>
      <c r="EE650" s="1307"/>
      <c r="EF650" s="1307"/>
      <c r="EG650" s="1307"/>
      <c r="EH650" s="1307">
        <f t="shared" si="6"/>
        <v>255</v>
      </c>
      <c r="EI650" s="1307"/>
      <c r="EJ650" s="1307"/>
      <c r="EK650" s="1307"/>
      <c r="EL650" s="1307"/>
      <c r="EM650" s="1307" t="e">
        <f t="shared" si="7"/>
        <v>#VALUE!</v>
      </c>
      <c r="EN650" s="1307"/>
      <c r="EO650" s="1307"/>
      <c r="EP650" s="1307"/>
      <c r="EQ650" s="1307"/>
      <c r="ER650" s="1307" t="e">
        <f t="shared" si="8"/>
        <v>#VALUE!</v>
      </c>
      <c r="ES650" s="1307"/>
      <c r="ET650" s="1307"/>
      <c r="EU650" s="1307"/>
      <c r="EV650" s="1307"/>
      <c r="EW650" s="1307" t="e">
        <f t="shared" si="9"/>
        <v>#VALUE!</v>
      </c>
      <c r="EX650" s="1307"/>
      <c r="EY650" s="1307"/>
      <c r="EZ650" s="1307"/>
      <c r="FA650" s="1307"/>
    </row>
    <row r="651" spans="1:157" ht="12.95" customHeight="1">
      <c r="A651" s="55" t="s">
        <v>112</v>
      </c>
      <c r="B651" t="s">
        <v>463</v>
      </c>
      <c r="G651" s="1314" t="str">
        <f>C635</f>
        <v>Citi Bank Permanent Loan</v>
      </c>
      <c r="H651" s="1314"/>
      <c r="I651" s="1314"/>
      <c r="J651" s="1314"/>
      <c r="K651" s="1314"/>
      <c r="L651" s="1314"/>
      <c r="M651" s="1314"/>
      <c r="N651" s="1314"/>
      <c r="O651" s="1314"/>
      <c r="P651" s="1314"/>
      <c r="Q651" s="1314"/>
      <c r="R651" s="1314"/>
      <c r="S651" s="8"/>
      <c r="T651" s="55" t="s">
        <v>113</v>
      </c>
      <c r="U651" t="s">
        <v>463</v>
      </c>
      <c r="Z651" s="1314" t="str">
        <f>C636</f>
        <v>County Gap Financing</v>
      </c>
      <c r="AA651" s="1314"/>
      <c r="AB651" s="1314"/>
      <c r="AC651" s="1314"/>
      <c r="AD651" s="1314"/>
      <c r="AE651" s="1314"/>
      <c r="AF651" s="1314"/>
      <c r="AG651" s="1314"/>
      <c r="AH651" s="1314"/>
      <c r="AI651" s="1314"/>
      <c r="AJ651" s="1314"/>
      <c r="AK651" s="1314"/>
      <c r="AV651" s="3"/>
      <c r="AW651" s="3"/>
      <c r="AX651" s="3"/>
      <c r="AY651" s="3"/>
      <c r="AZ651" s="34"/>
      <c r="BA651" s="34"/>
      <c r="BB651" s="34"/>
      <c r="BC651" s="34"/>
      <c r="BD651" s="34"/>
      <c r="BE651" s="34"/>
      <c r="BF651" s="34"/>
      <c r="BG651" s="34"/>
      <c r="BH651" s="34"/>
      <c r="BI651" s="34"/>
      <c r="BJ651" s="34"/>
      <c r="BK651" s="34"/>
      <c r="BL651" s="34"/>
      <c r="BM651" s="34"/>
      <c r="CV651" s="3"/>
      <c r="CW651" s="3"/>
      <c r="CX651" s="3"/>
      <c r="CY651" s="3"/>
      <c r="CZ651" s="3"/>
      <c r="DA651" s="3"/>
      <c r="DB651" s="3"/>
      <c r="DC651" s="3"/>
      <c r="DD651" s="3"/>
      <c r="DE651" s="3"/>
      <c r="DF651" s="3"/>
      <c r="DX651" s="1307" t="e">
        <f t="shared" si="4"/>
        <v>#VALUE!</v>
      </c>
      <c r="DY651" s="1307"/>
      <c r="DZ651" s="1307"/>
      <c r="EA651" s="1307"/>
      <c r="EB651" s="1307"/>
      <c r="EC651" s="1307" t="e">
        <f t="shared" si="5"/>
        <v>#VALUE!</v>
      </c>
      <c r="ED651" s="1307"/>
      <c r="EE651" s="1307"/>
      <c r="EF651" s="1307"/>
      <c r="EG651" s="1307"/>
      <c r="EH651" s="1307">
        <f t="shared" si="6"/>
        <v>1532.1428571428571</v>
      </c>
      <c r="EI651" s="1307"/>
      <c r="EJ651" s="1307"/>
      <c r="EK651" s="1307"/>
      <c r="EL651" s="1307"/>
      <c r="EM651" s="1307" t="e">
        <f t="shared" si="7"/>
        <v>#VALUE!</v>
      </c>
      <c r="EN651" s="1307"/>
      <c r="EO651" s="1307"/>
      <c r="EP651" s="1307"/>
      <c r="EQ651" s="1307"/>
      <c r="ER651" s="1307" t="e">
        <f t="shared" si="8"/>
        <v>#VALUE!</v>
      </c>
      <c r="ES651" s="1307"/>
      <c r="ET651" s="1307"/>
      <c r="EU651" s="1307"/>
      <c r="EV651" s="1307"/>
      <c r="EW651" s="1307" t="e">
        <f t="shared" si="9"/>
        <v>#VALUE!</v>
      </c>
      <c r="EX651" s="1307"/>
      <c r="EY651" s="1307"/>
      <c r="EZ651" s="1307"/>
      <c r="FA651" s="1307"/>
    </row>
    <row r="652" spans="1:157" ht="12.95" customHeight="1">
      <c r="A652" s="22"/>
      <c r="B652" t="s">
        <v>85</v>
      </c>
      <c r="G652" s="1358" t="s">
        <v>2732</v>
      </c>
      <c r="H652" s="1359"/>
      <c r="I652" s="1359"/>
      <c r="J652" s="1359"/>
      <c r="K652" s="1359"/>
      <c r="L652" s="1359"/>
      <c r="M652" s="1359"/>
      <c r="N652" s="1359"/>
      <c r="O652" s="1359"/>
      <c r="P652" s="1359"/>
      <c r="Q652" s="1359"/>
      <c r="R652" s="1359"/>
      <c r="S652" s="8"/>
      <c r="T652" s="22"/>
      <c r="U652" t="s">
        <v>85</v>
      </c>
      <c r="Z652" s="1358" t="s">
        <v>2746</v>
      </c>
      <c r="AA652" s="1359"/>
      <c r="AB652" s="1359"/>
      <c r="AC652" s="1359"/>
      <c r="AD652" s="1359"/>
      <c r="AE652" s="1359"/>
      <c r="AF652" s="1359"/>
      <c r="AG652" s="1359"/>
      <c r="AH652" s="1359"/>
      <c r="AI652" s="1359"/>
      <c r="AJ652" s="1359"/>
      <c r="AK652" s="1359"/>
      <c r="AV652" s="3"/>
      <c r="AW652" s="3"/>
      <c r="AX652" s="3"/>
      <c r="AY652" s="3"/>
      <c r="AZ652" s="3"/>
      <c r="BA652" s="3"/>
      <c r="BB652" s="3"/>
      <c r="BC652" s="3"/>
      <c r="BD652" s="3"/>
      <c r="BE652" s="3"/>
      <c r="BF652" s="3"/>
      <c r="BG652" s="3"/>
      <c r="BH652" s="3"/>
      <c r="BI652" s="3"/>
      <c r="BJ652" s="3"/>
      <c r="BK652" s="3"/>
      <c r="BL652" s="3"/>
      <c r="BM652" s="3"/>
      <c r="DX652" s="1307" t="e">
        <f t="shared" si="4"/>
        <v>#VALUE!</v>
      </c>
      <c r="DY652" s="1307"/>
      <c r="DZ652" s="1307"/>
      <c r="EA652" s="1307"/>
      <c r="EB652" s="1307"/>
      <c r="EC652" s="1307" t="e">
        <f t="shared" si="5"/>
        <v>#VALUE!</v>
      </c>
      <c r="ED652" s="1307"/>
      <c r="EE652" s="1307"/>
      <c r="EF652" s="1307"/>
      <c r="EG652" s="1307"/>
      <c r="EH652" s="1307" t="e">
        <f t="shared" si="6"/>
        <v>#VALUE!</v>
      </c>
      <c r="EI652" s="1307"/>
      <c r="EJ652" s="1307"/>
      <c r="EK652" s="1307"/>
      <c r="EL652" s="1307"/>
      <c r="EM652" s="1307" t="e">
        <f t="shared" si="7"/>
        <v>#VALUE!</v>
      </c>
      <c r="EN652" s="1307"/>
      <c r="EO652" s="1307"/>
      <c r="EP652" s="1307"/>
      <c r="EQ652" s="1307"/>
      <c r="ER652" s="1307" t="e">
        <f t="shared" si="8"/>
        <v>#VALUE!</v>
      </c>
      <c r="ES652" s="1307"/>
      <c r="ET652" s="1307"/>
      <c r="EU652" s="1307"/>
      <c r="EV652" s="1307"/>
      <c r="EW652" s="1307" t="e">
        <f t="shared" si="9"/>
        <v>#VALUE!</v>
      </c>
      <c r="EX652" s="1307"/>
      <c r="EY652" s="1307"/>
      <c r="EZ652" s="1307"/>
      <c r="FA652" s="1307"/>
    </row>
    <row r="653" spans="1:157" ht="12.95" customHeight="1">
      <c r="A653" s="22"/>
      <c r="B653" t="s">
        <v>580</v>
      </c>
      <c r="G653" s="1358" t="s">
        <v>2733</v>
      </c>
      <c r="H653" s="1359"/>
      <c r="I653" s="1359"/>
      <c r="J653" s="1359"/>
      <c r="K653" s="1359"/>
      <c r="L653" s="1359"/>
      <c r="M653" s="1359"/>
      <c r="N653" s="1359"/>
      <c r="O653" s="1359"/>
      <c r="P653" s="1359"/>
      <c r="Q653" s="1359"/>
      <c r="R653" s="1359"/>
      <c r="T653" s="22"/>
      <c r="U653" t="s">
        <v>580</v>
      </c>
      <c r="Z653" s="1441" t="s">
        <v>2747</v>
      </c>
      <c r="AA653" s="1399"/>
      <c r="AB653" s="1399"/>
      <c r="AC653" s="1399"/>
      <c r="AD653" s="1399"/>
      <c r="AE653" s="1399"/>
      <c r="AF653" s="1399"/>
      <c r="AG653" s="1399"/>
      <c r="AH653" s="1399"/>
      <c r="AI653" s="1399"/>
      <c r="AJ653" s="1399"/>
      <c r="AK653" s="1399"/>
      <c r="AV653" s="3"/>
      <c r="AW653" s="3"/>
      <c r="AX653" s="3"/>
      <c r="AY653" s="3"/>
      <c r="AZ653" s="3"/>
      <c r="BA653" s="3"/>
      <c r="BB653" s="3"/>
      <c r="BC653" s="3"/>
      <c r="BD653" s="3"/>
      <c r="BE653" s="3"/>
      <c r="BF653" s="3"/>
      <c r="BG653" s="3"/>
      <c r="BH653" s="3"/>
      <c r="BI653" s="3"/>
      <c r="BJ653" s="3"/>
      <c r="BK653" s="3"/>
      <c r="BL653" s="3"/>
      <c r="BM653" s="3"/>
      <c r="DX653" s="1307" t="e">
        <f t="shared" si="4"/>
        <v>#VALUE!</v>
      </c>
      <c r="DY653" s="1307"/>
      <c r="DZ653" s="1307"/>
      <c r="EA653" s="1307"/>
      <c r="EB653" s="1307"/>
      <c r="EC653" s="1307" t="e">
        <f t="shared" si="5"/>
        <v>#VALUE!</v>
      </c>
      <c r="ED653" s="1307"/>
      <c r="EE653" s="1307"/>
      <c r="EF653" s="1307"/>
      <c r="EG653" s="1307"/>
      <c r="EH653" s="1307" t="e">
        <f t="shared" si="6"/>
        <v>#VALUE!</v>
      </c>
      <c r="EI653" s="1307"/>
      <c r="EJ653" s="1307"/>
      <c r="EK653" s="1307"/>
      <c r="EL653" s="1307"/>
      <c r="EM653" s="1307" t="e">
        <f t="shared" si="7"/>
        <v>#VALUE!</v>
      </c>
      <c r="EN653" s="1307"/>
      <c r="EO653" s="1307"/>
      <c r="EP653" s="1307"/>
      <c r="EQ653" s="1307"/>
      <c r="ER653" s="1307" t="e">
        <f t="shared" si="8"/>
        <v>#VALUE!</v>
      </c>
      <c r="ES653" s="1307"/>
      <c r="ET653" s="1307"/>
      <c r="EU653" s="1307"/>
      <c r="EV653" s="1307"/>
      <c r="EW653" s="1307" t="e">
        <f t="shared" si="9"/>
        <v>#VALUE!</v>
      </c>
      <c r="EX653" s="1307"/>
      <c r="EY653" s="1307"/>
      <c r="EZ653" s="1307"/>
      <c r="FA653" s="1307"/>
    </row>
    <row r="654" spans="1:157" ht="12.95" customHeight="1">
      <c r="A654" s="22"/>
      <c r="B654" t="s">
        <v>17</v>
      </c>
      <c r="G654" s="1358" t="s">
        <v>2734</v>
      </c>
      <c r="H654" s="1359"/>
      <c r="I654" s="1359"/>
      <c r="J654" s="1359"/>
      <c r="K654" s="1359"/>
      <c r="L654" s="1359"/>
      <c r="M654" s="1359"/>
      <c r="N654" s="1359"/>
      <c r="O654" s="1359"/>
      <c r="P654" s="1359"/>
      <c r="Q654" s="1359"/>
      <c r="R654" s="1359"/>
      <c r="S654" s="8"/>
      <c r="T654" s="22"/>
      <c r="U654" t="s">
        <v>17</v>
      </c>
      <c r="Z654" s="1399"/>
      <c r="AA654" s="1399"/>
      <c r="AB654" s="1399"/>
      <c r="AC654" s="1399"/>
      <c r="AD654" s="1399"/>
      <c r="AE654" s="1399"/>
      <c r="AF654" s="1399"/>
      <c r="AG654" s="1399"/>
      <c r="AH654" s="1399"/>
      <c r="AI654" s="1399"/>
      <c r="AJ654" s="1399"/>
      <c r="AK654" s="1399"/>
      <c r="AZ654" s="3"/>
      <c r="BA654" s="3"/>
      <c r="BB654" s="3"/>
      <c r="BC654" s="3"/>
      <c r="BD654" s="3"/>
      <c r="BE654" s="3"/>
      <c r="BF654" s="3"/>
      <c r="BG654" s="3"/>
      <c r="BH654" s="3"/>
      <c r="BI654" s="3"/>
      <c r="BJ654" s="3"/>
      <c r="BK654" s="3"/>
      <c r="BL654" s="3"/>
      <c r="BM654" s="3"/>
      <c r="DX654" s="1307" t="e">
        <f t="shared" si="4"/>
        <v>#VALUE!</v>
      </c>
      <c r="DY654" s="1307"/>
      <c r="DZ654" s="1307"/>
      <c r="EA654" s="1307"/>
      <c r="EB654" s="1307"/>
      <c r="EC654" s="1307" t="e">
        <f t="shared" si="5"/>
        <v>#VALUE!</v>
      </c>
      <c r="ED654" s="1307"/>
      <c r="EE654" s="1307"/>
      <c r="EF654" s="1307"/>
      <c r="EG654" s="1307"/>
      <c r="EH654" s="1307" t="e">
        <f t="shared" si="6"/>
        <v>#VALUE!</v>
      </c>
      <c r="EI654" s="1307"/>
      <c r="EJ654" s="1307"/>
      <c r="EK654" s="1307"/>
      <c r="EL654" s="1307"/>
      <c r="EM654" s="1307" t="e">
        <f t="shared" si="7"/>
        <v>#VALUE!</v>
      </c>
      <c r="EN654" s="1307"/>
      <c r="EO654" s="1307"/>
      <c r="EP654" s="1307"/>
      <c r="EQ654" s="1307"/>
      <c r="ER654" s="1307" t="e">
        <f t="shared" si="8"/>
        <v>#VALUE!</v>
      </c>
      <c r="ES654" s="1307"/>
      <c r="ET654" s="1307"/>
      <c r="EU654" s="1307"/>
      <c r="EV654" s="1307"/>
      <c r="EW654" s="1307" t="e">
        <f t="shared" si="9"/>
        <v>#VALUE!</v>
      </c>
      <c r="EX654" s="1307"/>
      <c r="EY654" s="1307"/>
      <c r="EZ654" s="1307"/>
      <c r="FA654" s="1307"/>
    </row>
    <row r="655" spans="1:157" ht="12.95" customHeight="1">
      <c r="A655" s="22"/>
      <c r="B655" t="s">
        <v>316</v>
      </c>
      <c r="G655" s="1328" t="s">
        <v>2735</v>
      </c>
      <c r="H655" s="1329"/>
      <c r="I655" s="1329"/>
      <c r="J655" s="1329"/>
      <c r="K655" s="1329"/>
      <c r="L655" s="1329"/>
      <c r="O655" s="33" t="s">
        <v>206</v>
      </c>
      <c r="P655" s="1416"/>
      <c r="Q655" s="1416"/>
      <c r="R655" s="1416"/>
      <c r="S655" s="10"/>
      <c r="T655" s="22"/>
      <c r="U655" t="s">
        <v>316</v>
      </c>
      <c r="Z655" s="1329"/>
      <c r="AA655" s="1329"/>
      <c r="AB655" s="1329"/>
      <c r="AC655" s="1329"/>
      <c r="AD655" s="1329"/>
      <c r="AE655" s="1329"/>
      <c r="AH655" s="33" t="s">
        <v>206</v>
      </c>
      <c r="AI655" s="1416"/>
      <c r="AJ655" s="1416"/>
      <c r="AK655" s="1416"/>
      <c r="AZ655" s="34"/>
      <c r="BA655" s="34"/>
      <c r="BB655" s="34"/>
      <c r="BC655" s="34"/>
      <c r="BD655" s="34"/>
      <c r="BE655" s="34"/>
      <c r="BF655" s="34"/>
      <c r="BG655" s="34"/>
      <c r="BH655" s="34"/>
      <c r="BI655" s="34"/>
      <c r="BJ655" s="34"/>
      <c r="BK655" s="34"/>
      <c r="BL655" s="34"/>
      <c r="BM655" s="34"/>
      <c r="DX655" s="1307" t="e">
        <f t="shared" si="4"/>
        <v>#VALUE!</v>
      </c>
      <c r="DY655" s="1307"/>
      <c r="DZ655" s="1307"/>
      <c r="EA655" s="1307"/>
      <c r="EB655" s="1307"/>
      <c r="EC655" s="1307" t="e">
        <f t="shared" si="5"/>
        <v>#VALUE!</v>
      </c>
      <c r="ED655" s="1307"/>
      <c r="EE655" s="1307"/>
      <c r="EF655" s="1307"/>
      <c r="EG655" s="1307"/>
      <c r="EH655" s="1307" t="e">
        <f t="shared" si="6"/>
        <v>#VALUE!</v>
      </c>
      <c r="EI655" s="1307"/>
      <c r="EJ655" s="1307"/>
      <c r="EK655" s="1307"/>
      <c r="EL655" s="1307"/>
      <c r="EM655" s="1307" t="e">
        <f t="shared" si="7"/>
        <v>#VALUE!</v>
      </c>
      <c r="EN655" s="1307"/>
      <c r="EO655" s="1307"/>
      <c r="EP655" s="1307"/>
      <c r="EQ655" s="1307"/>
      <c r="ER655" s="1307" t="e">
        <f t="shared" si="8"/>
        <v>#VALUE!</v>
      </c>
      <c r="ES655" s="1307"/>
      <c r="ET655" s="1307"/>
      <c r="EU655" s="1307"/>
      <c r="EV655" s="1307"/>
      <c r="EW655" s="1307" t="e">
        <f t="shared" si="9"/>
        <v>#VALUE!</v>
      </c>
      <c r="EX655" s="1307"/>
      <c r="EY655" s="1307"/>
      <c r="EZ655" s="1307"/>
      <c r="FA655" s="1307"/>
    </row>
    <row r="656" spans="1:157" ht="12.95" customHeight="1">
      <c r="A656" s="22"/>
      <c r="B656" t="s">
        <v>18</v>
      </c>
      <c r="H656" s="1358" t="s">
        <v>2744</v>
      </c>
      <c r="I656" s="1359"/>
      <c r="J656" s="1359"/>
      <c r="K656" s="1359"/>
      <c r="L656" s="1359"/>
      <c r="M656" s="1359"/>
      <c r="N656" s="1359"/>
      <c r="O656" s="1359"/>
      <c r="P656" s="1359"/>
      <c r="Q656" s="1359"/>
      <c r="R656" s="1359"/>
      <c r="S656" s="8"/>
      <c r="T656" s="22"/>
      <c r="U656" t="s">
        <v>18</v>
      </c>
      <c r="AA656" s="1359"/>
      <c r="AB656" s="1359"/>
      <c r="AC656" s="1359"/>
      <c r="AD656" s="1359"/>
      <c r="AE656" s="1359"/>
      <c r="AF656" s="1359"/>
      <c r="AG656" s="1359"/>
      <c r="AH656" s="1359"/>
      <c r="AI656" s="1359"/>
      <c r="AJ656" s="1359"/>
      <c r="AK656" s="1359"/>
      <c r="AZ656" s="34"/>
      <c r="BA656" s="34"/>
      <c r="BB656" s="34"/>
      <c r="BC656" s="34"/>
      <c r="BD656" s="34"/>
      <c r="BE656" s="34"/>
      <c r="BF656" s="34"/>
      <c r="BG656" s="34"/>
      <c r="BH656" s="34"/>
      <c r="BI656" s="34"/>
      <c r="BJ656" s="34"/>
      <c r="BK656" s="34"/>
      <c r="BL656" s="34"/>
      <c r="BM656" s="34"/>
      <c r="DX656" s="1307" t="e">
        <f t="shared" si="4"/>
        <v>#VALUE!</v>
      </c>
      <c r="DY656" s="1307"/>
      <c r="DZ656" s="1307"/>
      <c r="EA656" s="1307"/>
      <c r="EB656" s="1307"/>
      <c r="EC656" s="1307" t="e">
        <f t="shared" si="5"/>
        <v>#VALUE!</v>
      </c>
      <c r="ED656" s="1307"/>
      <c r="EE656" s="1307"/>
      <c r="EF656" s="1307"/>
      <c r="EG656" s="1307"/>
      <c r="EH656" s="1307" t="e">
        <f t="shared" si="6"/>
        <v>#VALUE!</v>
      </c>
      <c r="EI656" s="1307"/>
      <c r="EJ656" s="1307"/>
      <c r="EK656" s="1307"/>
      <c r="EL656" s="1307"/>
      <c r="EM656" s="1307" t="e">
        <f t="shared" si="7"/>
        <v>#VALUE!</v>
      </c>
      <c r="EN656" s="1307"/>
      <c r="EO656" s="1307"/>
      <c r="EP656" s="1307"/>
      <c r="EQ656" s="1307"/>
      <c r="ER656" s="1307" t="e">
        <f t="shared" si="8"/>
        <v>#VALUE!</v>
      </c>
      <c r="ES656" s="1307"/>
      <c r="ET656" s="1307"/>
      <c r="EU656" s="1307"/>
      <c r="EV656" s="1307"/>
      <c r="EW656" s="1307" t="e">
        <f t="shared" si="9"/>
        <v>#VALUE!</v>
      </c>
      <c r="EX656" s="1307"/>
      <c r="EY656" s="1307"/>
      <c r="EZ656" s="1307"/>
      <c r="FA656" s="1307"/>
    </row>
    <row r="657" spans="1:157" ht="12.95" customHeight="1">
      <c r="A657" s="22"/>
      <c r="B657" t="s">
        <v>20</v>
      </c>
      <c r="N657" s="1324" t="s">
        <v>545</v>
      </c>
      <c r="O657" s="1324"/>
      <c r="T657" s="22"/>
      <c r="U657" t="s">
        <v>20</v>
      </c>
      <c r="AG657" s="1324" t="s">
        <v>669</v>
      </c>
      <c r="AH657" s="1324"/>
      <c r="AZ657" s="34"/>
      <c r="BA657" s="34"/>
      <c r="BB657" s="34"/>
      <c r="BC657" s="34"/>
      <c r="BD657" s="34"/>
      <c r="BE657" s="34"/>
      <c r="BF657" s="34"/>
      <c r="BG657" s="34"/>
      <c r="BH657" s="34"/>
      <c r="BI657" s="34"/>
      <c r="BJ657" s="34"/>
      <c r="BK657" s="34"/>
      <c r="BL657" s="34"/>
      <c r="BM657" s="34"/>
      <c r="DX657" s="1307" t="e">
        <f t="shared" si="4"/>
        <v>#VALUE!</v>
      </c>
      <c r="DY657" s="1307"/>
      <c r="DZ657" s="1307"/>
      <c r="EA657" s="1307"/>
      <c r="EB657" s="1307"/>
      <c r="EC657" s="1307" t="e">
        <f t="shared" si="5"/>
        <v>#VALUE!</v>
      </c>
      <c r="ED657" s="1307"/>
      <c r="EE657" s="1307"/>
      <c r="EF657" s="1307"/>
      <c r="EG657" s="1307"/>
      <c r="EH657" s="1307" t="e">
        <f t="shared" si="6"/>
        <v>#VALUE!</v>
      </c>
      <c r="EI657" s="1307"/>
      <c r="EJ657" s="1307"/>
      <c r="EK657" s="1307"/>
      <c r="EL657" s="1307"/>
      <c r="EM657" s="1307" t="e">
        <f t="shared" si="7"/>
        <v>#VALUE!</v>
      </c>
      <c r="EN657" s="1307"/>
      <c r="EO657" s="1307"/>
      <c r="EP657" s="1307"/>
      <c r="EQ657" s="1307"/>
      <c r="ER657" s="1307" t="e">
        <f t="shared" si="8"/>
        <v>#VALUE!</v>
      </c>
      <c r="ES657" s="1307"/>
      <c r="ET657" s="1307"/>
      <c r="EU657" s="1307"/>
      <c r="EV657" s="1307"/>
      <c r="EW657" s="1307" t="e">
        <f t="shared" si="9"/>
        <v>#VALUE!</v>
      </c>
      <c r="EX657" s="1307"/>
      <c r="EY657" s="1307"/>
      <c r="EZ657" s="1307"/>
      <c r="FA657" s="1307"/>
    </row>
    <row r="658" spans="1:157" ht="12.95" customHeight="1">
      <c r="A658" s="22"/>
      <c r="T658" s="22"/>
      <c r="AZ658" s="34"/>
      <c r="BA658" s="34"/>
      <c r="BB658" s="34"/>
      <c r="BC658" s="34"/>
      <c r="BD658" s="34"/>
      <c r="BE658" s="34"/>
      <c r="BF658" s="34"/>
      <c r="BG658" s="34"/>
      <c r="BH658" s="34"/>
      <c r="BI658" s="34"/>
      <c r="BJ658" s="34"/>
      <c r="BK658" s="34"/>
      <c r="BL658" s="34"/>
      <c r="BM658" s="34"/>
      <c r="DX658" s="1307" t="e">
        <f t="shared" si="4"/>
        <v>#VALUE!</v>
      </c>
      <c r="DY658" s="1307"/>
      <c r="DZ658" s="1307"/>
      <c r="EA658" s="1307"/>
      <c r="EB658" s="1307"/>
      <c r="EC658" s="1307" t="e">
        <f t="shared" si="5"/>
        <v>#VALUE!</v>
      </c>
      <c r="ED658" s="1307"/>
      <c r="EE658" s="1307"/>
      <c r="EF658" s="1307"/>
      <c r="EG658" s="1307"/>
      <c r="EH658" s="1307" t="e">
        <f t="shared" si="6"/>
        <v>#VALUE!</v>
      </c>
      <c r="EI658" s="1307"/>
      <c r="EJ658" s="1307"/>
      <c r="EK658" s="1307"/>
      <c r="EL658" s="1307"/>
      <c r="EM658" s="1307" t="e">
        <f t="shared" si="7"/>
        <v>#VALUE!</v>
      </c>
      <c r="EN658" s="1307"/>
      <c r="EO658" s="1307"/>
      <c r="EP658" s="1307"/>
      <c r="EQ658" s="1307"/>
      <c r="ER658" s="1307" t="e">
        <f t="shared" si="8"/>
        <v>#VALUE!</v>
      </c>
      <c r="ES658" s="1307"/>
      <c r="ET658" s="1307"/>
      <c r="EU658" s="1307"/>
      <c r="EV658" s="1307"/>
      <c r="EW658" s="1307" t="e">
        <f t="shared" si="9"/>
        <v>#VALUE!</v>
      </c>
      <c r="EX658" s="1307"/>
      <c r="EY658" s="1307"/>
      <c r="EZ658" s="1307"/>
      <c r="FA658" s="1307"/>
    </row>
    <row r="659" spans="1:157" ht="12.95" customHeight="1">
      <c r="A659" s="55" t="s">
        <v>119</v>
      </c>
      <c r="B659" t="s">
        <v>463</v>
      </c>
      <c r="G659" s="1314" t="str">
        <f>C637</f>
        <v>GC Loan</v>
      </c>
      <c r="H659" s="1314"/>
      <c r="I659" s="1314"/>
      <c r="J659" s="1314"/>
      <c r="K659" s="1314"/>
      <c r="L659" s="1314"/>
      <c r="M659" s="1314"/>
      <c r="N659" s="1314"/>
      <c r="O659" s="1314"/>
      <c r="P659" s="1314"/>
      <c r="Q659" s="1314"/>
      <c r="R659" s="1314"/>
      <c r="T659" s="55" t="s">
        <v>581</v>
      </c>
      <c r="U659" t="s">
        <v>463</v>
      </c>
      <c r="Z659" s="1314" t="str">
        <f>C638</f>
        <v>Deferred Developer Fee</v>
      </c>
      <c r="AA659" s="1314"/>
      <c r="AB659" s="1314"/>
      <c r="AC659" s="1314"/>
      <c r="AD659" s="1314"/>
      <c r="AE659" s="1314"/>
      <c r="AF659" s="1314"/>
      <c r="AG659" s="1314"/>
      <c r="AH659" s="1314"/>
      <c r="AI659" s="1314"/>
      <c r="AJ659" s="1314"/>
      <c r="AK659" s="1314"/>
      <c r="AZ659" s="34"/>
      <c r="BA659" s="34"/>
      <c r="BB659" s="34"/>
      <c r="BC659" s="34"/>
      <c r="BD659" s="34"/>
      <c r="BE659" s="34"/>
      <c r="BF659" s="34"/>
      <c r="BG659" s="34"/>
      <c r="BH659" s="34"/>
      <c r="BI659" s="34"/>
      <c r="BJ659" s="34"/>
      <c r="BK659" s="34"/>
      <c r="BL659" s="34"/>
      <c r="BM659" s="34"/>
      <c r="DX659" s="1307" t="e">
        <f t="shared" si="4"/>
        <v>#VALUE!</v>
      </c>
      <c r="DY659" s="1307"/>
      <c r="DZ659" s="1307"/>
      <c r="EA659" s="1307"/>
      <c r="EB659" s="1307"/>
      <c r="EC659" s="1307" t="e">
        <f t="shared" si="5"/>
        <v>#VALUE!</v>
      </c>
      <c r="ED659" s="1307"/>
      <c r="EE659" s="1307"/>
      <c r="EF659" s="1307"/>
      <c r="EG659" s="1307"/>
      <c r="EH659" s="1307" t="e">
        <f t="shared" si="6"/>
        <v>#VALUE!</v>
      </c>
      <c r="EI659" s="1307"/>
      <c r="EJ659" s="1307"/>
      <c r="EK659" s="1307"/>
      <c r="EL659" s="1307"/>
      <c r="EM659" s="1307" t="e">
        <f t="shared" si="7"/>
        <v>#VALUE!</v>
      </c>
      <c r="EN659" s="1307"/>
      <c r="EO659" s="1307"/>
      <c r="EP659" s="1307"/>
      <c r="EQ659" s="1307"/>
      <c r="ER659" s="1307" t="e">
        <f t="shared" si="8"/>
        <v>#VALUE!</v>
      </c>
      <c r="ES659" s="1307"/>
      <c r="ET659" s="1307"/>
      <c r="EU659" s="1307"/>
      <c r="EV659" s="1307"/>
      <c r="EW659" s="1307" t="e">
        <f t="shared" si="9"/>
        <v>#VALUE!</v>
      </c>
      <c r="EX659" s="1307"/>
      <c r="EY659" s="1307"/>
      <c r="EZ659" s="1307"/>
      <c r="FA659" s="1307"/>
    </row>
    <row r="660" spans="1:157" ht="12.95" customHeight="1">
      <c r="A660" s="22"/>
      <c r="B660" t="s">
        <v>85</v>
      </c>
      <c r="G660" s="1358" t="s">
        <v>2647</v>
      </c>
      <c r="H660" s="1359"/>
      <c r="I660" s="1359"/>
      <c r="J660" s="1359"/>
      <c r="K660" s="1359"/>
      <c r="L660" s="1359"/>
      <c r="M660" s="1359"/>
      <c r="N660" s="1359"/>
      <c r="O660" s="1359"/>
      <c r="P660" s="1359"/>
      <c r="Q660" s="1359"/>
      <c r="R660" s="1359"/>
      <c r="T660" s="22"/>
      <c r="U660" t="s">
        <v>85</v>
      </c>
      <c r="Z660" s="1358" t="s">
        <v>2745</v>
      </c>
      <c r="AA660" s="1359"/>
      <c r="AB660" s="1359"/>
      <c r="AC660" s="1359"/>
      <c r="AD660" s="1359"/>
      <c r="AE660" s="1359"/>
      <c r="AF660" s="1359"/>
      <c r="AG660" s="1359"/>
      <c r="AH660" s="1359"/>
      <c r="AI660" s="1359"/>
      <c r="AJ660" s="1359"/>
      <c r="AK660" s="1359"/>
      <c r="AZ660" s="34"/>
      <c r="BA660" s="34"/>
      <c r="BB660" s="34"/>
      <c r="BC660" s="34"/>
      <c r="BD660" s="34"/>
      <c r="BE660" s="34"/>
      <c r="BF660" s="34"/>
      <c r="BG660" s="34"/>
      <c r="BH660" s="34"/>
      <c r="BI660" s="34"/>
      <c r="BJ660" s="34"/>
      <c r="BK660" s="34"/>
      <c r="BL660" s="34"/>
      <c r="BM660" s="34"/>
      <c r="DX660" s="1307" t="e">
        <f t="shared" si="4"/>
        <v>#VALUE!</v>
      </c>
      <c r="DY660" s="1307"/>
      <c r="DZ660" s="1307"/>
      <c r="EA660" s="1307"/>
      <c r="EB660" s="1307"/>
      <c r="EC660" s="1307" t="e">
        <f t="shared" si="5"/>
        <v>#VALUE!</v>
      </c>
      <c r="ED660" s="1307"/>
      <c r="EE660" s="1307"/>
      <c r="EF660" s="1307"/>
      <c r="EG660" s="1307"/>
      <c r="EH660" s="1307" t="e">
        <f t="shared" si="6"/>
        <v>#VALUE!</v>
      </c>
      <c r="EI660" s="1307"/>
      <c r="EJ660" s="1307"/>
      <c r="EK660" s="1307"/>
      <c r="EL660" s="1307"/>
      <c r="EM660" s="1307" t="e">
        <f t="shared" si="7"/>
        <v>#VALUE!</v>
      </c>
      <c r="EN660" s="1307"/>
      <c r="EO660" s="1307"/>
      <c r="EP660" s="1307"/>
      <c r="EQ660" s="1307"/>
      <c r="ER660" s="1307" t="e">
        <f t="shared" si="8"/>
        <v>#VALUE!</v>
      </c>
      <c r="ES660" s="1307"/>
      <c r="ET660" s="1307"/>
      <c r="EU660" s="1307"/>
      <c r="EV660" s="1307"/>
      <c r="EW660" s="1307" t="e">
        <f t="shared" si="9"/>
        <v>#VALUE!</v>
      </c>
      <c r="EX660" s="1307"/>
      <c r="EY660" s="1307"/>
      <c r="EZ660" s="1307"/>
      <c r="FA660" s="1307"/>
    </row>
    <row r="661" spans="1:157" ht="12.95" customHeight="1">
      <c r="A661" s="22"/>
      <c r="B661" t="s">
        <v>580</v>
      </c>
      <c r="G661" s="1441" t="s">
        <v>2677</v>
      </c>
      <c r="H661" s="1399"/>
      <c r="I661" s="1399"/>
      <c r="J661" s="1399"/>
      <c r="K661" s="1399"/>
      <c r="L661" s="1399"/>
      <c r="M661" s="1399"/>
      <c r="N661" s="1399"/>
      <c r="O661" s="1399"/>
      <c r="P661" s="1399"/>
      <c r="Q661" s="1399"/>
      <c r="R661" s="1399"/>
      <c r="T661" s="22"/>
      <c r="U661" t="s">
        <v>580</v>
      </c>
      <c r="Z661" s="1441" t="s">
        <v>2677</v>
      </c>
      <c r="AA661" s="1399"/>
      <c r="AB661" s="1399"/>
      <c r="AC661" s="1399"/>
      <c r="AD661" s="1399"/>
      <c r="AE661" s="1399"/>
      <c r="AF661" s="1399"/>
      <c r="AG661" s="1399"/>
      <c r="AH661" s="1399"/>
      <c r="AI661" s="1399"/>
      <c r="AJ661" s="1399"/>
      <c r="AK661" s="1399"/>
      <c r="AZ661" s="34"/>
      <c r="BA661" s="34"/>
      <c r="BB661" s="34"/>
      <c r="BC661" s="34"/>
      <c r="BD661" s="34"/>
      <c r="BE661" s="34"/>
      <c r="BF661" s="34"/>
      <c r="BG661" s="34"/>
      <c r="BH661" s="34"/>
      <c r="BI661" s="34"/>
      <c r="BJ661" s="34"/>
      <c r="BK661" s="34"/>
      <c r="BL661" s="34"/>
      <c r="BM661" s="34"/>
      <c r="DX661" s="1307" t="e">
        <f t="shared" si="4"/>
        <v>#VALUE!</v>
      </c>
      <c r="DY661" s="1307"/>
      <c r="DZ661" s="1307"/>
      <c r="EA661" s="1307"/>
      <c r="EB661" s="1307"/>
      <c r="EC661" s="1307" t="e">
        <f t="shared" si="5"/>
        <v>#VALUE!</v>
      </c>
      <c r="ED661" s="1307"/>
      <c r="EE661" s="1307"/>
      <c r="EF661" s="1307"/>
      <c r="EG661" s="1307"/>
      <c r="EH661" s="1307" t="e">
        <f t="shared" si="6"/>
        <v>#VALUE!</v>
      </c>
      <c r="EI661" s="1307"/>
      <c r="EJ661" s="1307"/>
      <c r="EK661" s="1307"/>
      <c r="EL661" s="1307"/>
      <c r="EM661" s="1307" t="e">
        <f t="shared" si="7"/>
        <v>#VALUE!</v>
      </c>
      <c r="EN661" s="1307"/>
      <c r="EO661" s="1307"/>
      <c r="EP661" s="1307"/>
      <c r="EQ661" s="1307"/>
      <c r="ER661" s="1307" t="e">
        <f t="shared" si="8"/>
        <v>#VALUE!</v>
      </c>
      <c r="ES661" s="1307"/>
      <c r="ET661" s="1307"/>
      <c r="EU661" s="1307"/>
      <c r="EV661" s="1307"/>
      <c r="EW661" s="1307" t="e">
        <f t="shared" si="9"/>
        <v>#VALUE!</v>
      </c>
      <c r="EX661" s="1307"/>
      <c r="EY661" s="1307"/>
      <c r="EZ661" s="1307"/>
      <c r="FA661" s="1307"/>
    </row>
    <row r="662" spans="1:157" ht="12.95" customHeight="1">
      <c r="A662" s="22"/>
      <c r="B662" t="s">
        <v>17</v>
      </c>
      <c r="G662" s="1441" t="s">
        <v>2663</v>
      </c>
      <c r="H662" s="1399"/>
      <c r="I662" s="1399"/>
      <c r="J662" s="1399"/>
      <c r="K662" s="1399"/>
      <c r="L662" s="1399"/>
      <c r="M662" s="1399"/>
      <c r="N662" s="1399"/>
      <c r="O662" s="1399"/>
      <c r="P662" s="1399"/>
      <c r="Q662" s="1399"/>
      <c r="R662" s="1399"/>
      <c r="T662" s="22"/>
      <c r="U662" t="s">
        <v>17</v>
      </c>
      <c r="Z662" s="1441" t="s">
        <v>2663</v>
      </c>
      <c r="AA662" s="1399"/>
      <c r="AB662" s="1399"/>
      <c r="AC662" s="1399"/>
      <c r="AD662" s="1399"/>
      <c r="AE662" s="1399"/>
      <c r="AF662" s="1399"/>
      <c r="AG662" s="1399"/>
      <c r="AH662" s="1399"/>
      <c r="AI662" s="1399"/>
      <c r="AJ662" s="1399"/>
      <c r="AK662" s="1399"/>
      <c r="AZ662" s="34"/>
      <c r="BA662" s="34"/>
      <c r="BB662" s="34"/>
      <c r="BC662" s="34"/>
      <c r="BD662" s="34"/>
      <c r="BE662" s="34"/>
      <c r="BF662" s="34"/>
      <c r="BG662" s="34"/>
      <c r="BH662" s="34"/>
      <c r="BI662" s="34"/>
      <c r="BJ662" s="34"/>
      <c r="BK662" s="34"/>
      <c r="BL662" s="34"/>
      <c r="BM662" s="34"/>
      <c r="DX662" s="1307" t="e">
        <f t="shared" si="4"/>
        <v>#VALUE!</v>
      </c>
      <c r="DY662" s="1307"/>
      <c r="DZ662" s="1307"/>
      <c r="EA662" s="1307"/>
      <c r="EB662" s="1307"/>
      <c r="EC662" s="1307" t="e">
        <f t="shared" si="5"/>
        <v>#VALUE!</v>
      </c>
      <c r="ED662" s="1307"/>
      <c r="EE662" s="1307"/>
      <c r="EF662" s="1307"/>
      <c r="EG662" s="1307"/>
      <c r="EH662" s="1307" t="e">
        <f t="shared" si="6"/>
        <v>#VALUE!</v>
      </c>
      <c r="EI662" s="1307"/>
      <c r="EJ662" s="1307"/>
      <c r="EK662" s="1307"/>
      <c r="EL662" s="1307"/>
      <c r="EM662" s="1307" t="e">
        <f t="shared" si="7"/>
        <v>#VALUE!</v>
      </c>
      <c r="EN662" s="1307"/>
      <c r="EO662" s="1307"/>
      <c r="EP662" s="1307"/>
      <c r="EQ662" s="1307"/>
      <c r="ER662" s="1307" t="e">
        <f t="shared" si="8"/>
        <v>#VALUE!</v>
      </c>
      <c r="ES662" s="1307"/>
      <c r="ET662" s="1307"/>
      <c r="EU662" s="1307"/>
      <c r="EV662" s="1307"/>
      <c r="EW662" s="1307" t="e">
        <f t="shared" si="9"/>
        <v>#VALUE!</v>
      </c>
      <c r="EX662" s="1307"/>
      <c r="EY662" s="1307"/>
      <c r="EZ662" s="1307"/>
      <c r="FA662" s="1307"/>
    </row>
    <row r="663" spans="1:157" ht="12.95" customHeight="1">
      <c r="A663" s="22"/>
      <c r="B663" t="s">
        <v>316</v>
      </c>
      <c r="G663" s="1328" t="s">
        <v>2664</v>
      </c>
      <c r="H663" s="1329"/>
      <c r="I663" s="1329"/>
      <c r="J663" s="1329"/>
      <c r="K663" s="1329"/>
      <c r="L663" s="1329"/>
      <c r="O663" s="33" t="s">
        <v>206</v>
      </c>
      <c r="P663" s="1416"/>
      <c r="Q663" s="1416"/>
      <c r="R663" s="1416"/>
      <c r="T663" s="22"/>
      <c r="U663" t="s">
        <v>316</v>
      </c>
      <c r="Z663" s="1328" t="s">
        <v>2664</v>
      </c>
      <c r="AA663" s="1329"/>
      <c r="AB663" s="1329"/>
      <c r="AC663" s="1329"/>
      <c r="AD663" s="1329"/>
      <c r="AE663" s="1329"/>
      <c r="AH663" s="33" t="s">
        <v>206</v>
      </c>
      <c r="AI663" s="1416"/>
      <c r="AJ663" s="1416"/>
      <c r="AK663" s="1416"/>
      <c r="AZ663" s="34"/>
      <c r="BA663" s="34"/>
      <c r="BB663" s="34"/>
      <c r="BC663" s="34"/>
      <c r="BD663" s="34"/>
      <c r="BE663" s="34"/>
      <c r="BF663" s="34"/>
      <c r="BG663" s="34"/>
      <c r="BH663" s="34"/>
      <c r="BI663" s="34"/>
      <c r="BJ663" s="34"/>
      <c r="BK663" s="34"/>
      <c r="BL663" s="34"/>
      <c r="BM663" s="34"/>
      <c r="DX663" s="1307" t="e">
        <f t="shared" si="4"/>
        <v>#VALUE!</v>
      </c>
      <c r="DY663" s="1307"/>
      <c r="DZ663" s="1307"/>
      <c r="EA663" s="1307"/>
      <c r="EB663" s="1307"/>
      <c r="EC663" s="1307" t="e">
        <f t="shared" si="5"/>
        <v>#VALUE!</v>
      </c>
      <c r="ED663" s="1307"/>
      <c r="EE663" s="1307"/>
      <c r="EF663" s="1307"/>
      <c r="EG663" s="1307"/>
      <c r="EH663" s="1307" t="e">
        <f t="shared" si="6"/>
        <v>#VALUE!</v>
      </c>
      <c r="EI663" s="1307"/>
      <c r="EJ663" s="1307"/>
      <c r="EK663" s="1307"/>
      <c r="EL663" s="1307"/>
      <c r="EM663" s="1307" t="e">
        <f t="shared" si="7"/>
        <v>#VALUE!</v>
      </c>
      <c r="EN663" s="1307"/>
      <c r="EO663" s="1307"/>
      <c r="EP663" s="1307"/>
      <c r="EQ663" s="1307"/>
      <c r="ER663" s="1307" t="e">
        <f t="shared" si="8"/>
        <v>#VALUE!</v>
      </c>
      <c r="ES663" s="1307"/>
      <c r="ET663" s="1307"/>
      <c r="EU663" s="1307"/>
      <c r="EV663" s="1307"/>
      <c r="EW663" s="1307" t="e">
        <f t="shared" si="9"/>
        <v>#VALUE!</v>
      </c>
      <c r="EX663" s="1307"/>
      <c r="EY663" s="1307"/>
      <c r="EZ663" s="1307"/>
      <c r="FA663" s="1307"/>
    </row>
    <row r="664" spans="1:157" ht="12.95" customHeight="1">
      <c r="A664" s="22"/>
      <c r="B664" t="s">
        <v>18</v>
      </c>
      <c r="H664" s="1358" t="s">
        <v>2741</v>
      </c>
      <c r="I664" s="1359"/>
      <c r="J664" s="1359"/>
      <c r="K664" s="1359"/>
      <c r="L664" s="1359"/>
      <c r="M664" s="1359"/>
      <c r="N664" s="1359"/>
      <c r="O664" s="1359"/>
      <c r="P664" s="1359"/>
      <c r="Q664" s="1359"/>
      <c r="R664" s="1359"/>
      <c r="T664" s="22"/>
      <c r="U664" t="s">
        <v>18</v>
      </c>
      <c r="AA664" s="1358" t="s">
        <v>2261</v>
      </c>
      <c r="AB664" s="1359"/>
      <c r="AC664" s="1359"/>
      <c r="AD664" s="1359"/>
      <c r="AE664" s="1359"/>
      <c r="AF664" s="1359"/>
      <c r="AG664" s="1359"/>
      <c r="AH664" s="1359"/>
      <c r="AI664" s="1359"/>
      <c r="AJ664" s="1359"/>
      <c r="AK664" s="1359"/>
      <c r="AZ664" s="34"/>
      <c r="BA664" s="34"/>
      <c r="BB664" s="34"/>
      <c r="BC664" s="34"/>
      <c r="BD664" s="34"/>
      <c r="BE664" s="34"/>
      <c r="BF664" s="34"/>
      <c r="BG664" s="34"/>
      <c r="BH664" s="34"/>
      <c r="BI664" s="34"/>
      <c r="BJ664" s="34"/>
      <c r="BK664" s="34"/>
      <c r="BL664" s="34"/>
      <c r="BM664" s="34"/>
      <c r="DX664" s="1307" t="e">
        <f t="shared" si="4"/>
        <v>#VALUE!</v>
      </c>
      <c r="DY664" s="1307"/>
      <c r="DZ664" s="1307"/>
      <c r="EA664" s="1307"/>
      <c r="EB664" s="1307"/>
      <c r="EC664" s="1307" t="e">
        <f t="shared" si="5"/>
        <v>#VALUE!</v>
      </c>
      <c r="ED664" s="1307"/>
      <c r="EE664" s="1307"/>
      <c r="EF664" s="1307"/>
      <c r="EG664" s="1307"/>
      <c r="EH664" s="1307" t="e">
        <f t="shared" si="6"/>
        <v>#VALUE!</v>
      </c>
      <c r="EI664" s="1307"/>
      <c r="EJ664" s="1307"/>
      <c r="EK664" s="1307"/>
      <c r="EL664" s="1307"/>
      <c r="EM664" s="1307" t="e">
        <f t="shared" si="7"/>
        <v>#VALUE!</v>
      </c>
      <c r="EN664" s="1307"/>
      <c r="EO664" s="1307"/>
      <c r="EP664" s="1307"/>
      <c r="EQ664" s="1307"/>
      <c r="ER664" s="1307" t="e">
        <f t="shared" si="8"/>
        <v>#VALUE!</v>
      </c>
      <c r="ES664" s="1307"/>
      <c r="ET664" s="1307"/>
      <c r="EU664" s="1307"/>
      <c r="EV664" s="1307"/>
      <c r="EW664" s="1307" t="e">
        <f t="shared" si="9"/>
        <v>#VALUE!</v>
      </c>
      <c r="EX664" s="1307"/>
      <c r="EY664" s="1307"/>
      <c r="EZ664" s="1307"/>
      <c r="FA664" s="1307"/>
    </row>
    <row r="665" spans="1:157" ht="12.95" customHeight="1">
      <c r="A665" s="22"/>
      <c r="B665" t="s">
        <v>20</v>
      </c>
      <c r="N665" s="1324" t="s">
        <v>545</v>
      </c>
      <c r="O665" s="1324"/>
      <c r="T665" s="22"/>
      <c r="U665" t="s">
        <v>20</v>
      </c>
      <c r="AG665" s="1324" t="s">
        <v>545</v>
      </c>
      <c r="AH665" s="1324"/>
      <c r="AZ665" s="34"/>
      <c r="BA665" s="34"/>
      <c r="BB665" s="34"/>
      <c r="BC665" s="34"/>
      <c r="BD665" s="34"/>
      <c r="BE665" s="34"/>
      <c r="BF665" s="34"/>
      <c r="BG665" s="34"/>
      <c r="BH665" s="34"/>
      <c r="BI665" s="34"/>
      <c r="BJ665" s="34"/>
      <c r="BK665" s="34"/>
      <c r="BL665" s="34"/>
      <c r="BM665" s="34"/>
      <c r="DX665" s="1307" t="e">
        <f t="shared" si="4"/>
        <v>#VALUE!</v>
      </c>
      <c r="DY665" s="1307"/>
      <c r="DZ665" s="1307"/>
      <c r="EA665" s="1307"/>
      <c r="EB665" s="1307"/>
      <c r="EC665" s="1307" t="e">
        <f t="shared" si="5"/>
        <v>#VALUE!</v>
      </c>
      <c r="ED665" s="1307"/>
      <c r="EE665" s="1307"/>
      <c r="EF665" s="1307"/>
      <c r="EG665" s="1307"/>
      <c r="EH665" s="1307" t="e">
        <f t="shared" si="6"/>
        <v>#VALUE!</v>
      </c>
      <c r="EI665" s="1307"/>
      <c r="EJ665" s="1307"/>
      <c r="EK665" s="1307"/>
      <c r="EL665" s="1307"/>
      <c r="EM665" s="1307" t="e">
        <f t="shared" si="7"/>
        <v>#VALUE!</v>
      </c>
      <c r="EN665" s="1307"/>
      <c r="EO665" s="1307"/>
      <c r="EP665" s="1307"/>
      <c r="EQ665" s="1307"/>
      <c r="ER665" s="1307" t="e">
        <f t="shared" si="8"/>
        <v>#VALUE!</v>
      </c>
      <c r="ES665" s="1307"/>
      <c r="ET665" s="1307"/>
      <c r="EU665" s="1307"/>
      <c r="EV665" s="1307"/>
      <c r="EW665" s="1307" t="e">
        <f t="shared" si="9"/>
        <v>#VALUE!</v>
      </c>
      <c r="EX665" s="1307"/>
      <c r="EY665" s="1307"/>
      <c r="EZ665" s="1307"/>
      <c r="FA665" s="1307"/>
    </row>
    <row r="666" spans="1:157" ht="12.95" customHeight="1">
      <c r="A666" s="22"/>
      <c r="T666" s="22"/>
      <c r="AZ666" s="34"/>
      <c r="BA666" s="34"/>
      <c r="BB666" s="34"/>
      <c r="BC666" s="34"/>
      <c r="BD666" s="34"/>
      <c r="BE666" s="34"/>
      <c r="BF666" s="34"/>
      <c r="BG666" s="34"/>
      <c r="BH666" s="34"/>
      <c r="BI666" s="34"/>
      <c r="BJ666" s="34"/>
      <c r="BK666" s="34"/>
      <c r="BL666" s="34"/>
      <c r="BM666" s="34"/>
      <c r="DX666" s="1307" t="e">
        <f t="shared" si="4"/>
        <v>#VALUE!</v>
      </c>
      <c r="DY666" s="1307"/>
      <c r="DZ666" s="1307"/>
      <c r="EA666" s="1307"/>
      <c r="EB666" s="1307"/>
      <c r="EC666" s="1307" t="e">
        <f t="shared" si="5"/>
        <v>#VALUE!</v>
      </c>
      <c r="ED666" s="1307"/>
      <c r="EE666" s="1307"/>
      <c r="EF666" s="1307"/>
      <c r="EG666" s="1307"/>
      <c r="EH666" s="1307" t="e">
        <f t="shared" si="6"/>
        <v>#VALUE!</v>
      </c>
      <c r="EI666" s="1307"/>
      <c r="EJ666" s="1307"/>
      <c r="EK666" s="1307"/>
      <c r="EL666" s="1307"/>
      <c r="EM666" s="1307" t="e">
        <f t="shared" si="7"/>
        <v>#VALUE!</v>
      </c>
      <c r="EN666" s="1307"/>
      <c r="EO666" s="1307"/>
      <c r="EP666" s="1307"/>
      <c r="EQ666" s="1307"/>
      <c r="ER666" s="1307" t="e">
        <f t="shared" si="8"/>
        <v>#VALUE!</v>
      </c>
      <c r="ES666" s="1307"/>
      <c r="ET666" s="1307"/>
      <c r="EU666" s="1307"/>
      <c r="EV666" s="1307"/>
      <c r="EW666" s="1307" t="e">
        <f t="shared" si="9"/>
        <v>#VALUE!</v>
      </c>
      <c r="EX666" s="1307"/>
      <c r="EY666" s="1307"/>
      <c r="EZ666" s="1307"/>
      <c r="FA666" s="1307"/>
    </row>
    <row r="667" spans="1:157" ht="12.95" customHeight="1">
      <c r="A667" s="55" t="s">
        <v>763</v>
      </c>
      <c r="B667" t="s">
        <v>463</v>
      </c>
      <c r="G667" s="1314">
        <f>C639</f>
        <v>0</v>
      </c>
      <c r="H667" s="1314"/>
      <c r="I667" s="1314"/>
      <c r="J667" s="1314"/>
      <c r="K667" s="1314"/>
      <c r="L667" s="1314"/>
      <c r="M667" s="1314"/>
      <c r="N667" s="1314"/>
      <c r="O667" s="1314"/>
      <c r="P667" s="1314"/>
      <c r="Q667" s="1314"/>
      <c r="R667" s="1314"/>
      <c r="T667" s="55" t="s">
        <v>584</v>
      </c>
      <c r="U667" t="s">
        <v>463</v>
      </c>
      <c r="Z667" s="1314">
        <f>C640</f>
        <v>0</v>
      </c>
      <c r="AA667" s="1314"/>
      <c r="AB667" s="1314"/>
      <c r="AC667" s="1314"/>
      <c r="AD667" s="1314"/>
      <c r="AE667" s="1314"/>
      <c r="AF667" s="1314"/>
      <c r="AG667" s="1314"/>
      <c r="AH667" s="1314"/>
      <c r="AI667" s="1314"/>
      <c r="AJ667" s="1314"/>
      <c r="AK667" s="1314"/>
      <c r="AZ667" s="34"/>
      <c r="BA667" s="34"/>
      <c r="BB667" s="34"/>
      <c r="BC667" s="34"/>
      <c r="BD667" s="34"/>
      <c r="BE667" s="34"/>
      <c r="BF667" s="34"/>
      <c r="BG667" s="34"/>
      <c r="BH667" s="34"/>
      <c r="BI667" s="34"/>
      <c r="BJ667" s="34"/>
      <c r="BK667" s="34"/>
      <c r="BL667" s="34"/>
      <c r="BM667" s="34"/>
      <c r="DX667" s="1307" t="e">
        <f t="shared" si="4"/>
        <v>#VALUE!</v>
      </c>
      <c r="DY667" s="1307"/>
      <c r="DZ667" s="1307"/>
      <c r="EA667" s="1307"/>
      <c r="EB667" s="1307"/>
      <c r="EC667" s="1307" t="e">
        <f t="shared" si="5"/>
        <v>#VALUE!</v>
      </c>
      <c r="ED667" s="1307"/>
      <c r="EE667" s="1307"/>
      <c r="EF667" s="1307"/>
      <c r="EG667" s="1307"/>
      <c r="EH667" s="1307" t="e">
        <f t="shared" si="6"/>
        <v>#VALUE!</v>
      </c>
      <c r="EI667" s="1307"/>
      <c r="EJ667" s="1307"/>
      <c r="EK667" s="1307"/>
      <c r="EL667" s="1307"/>
      <c r="EM667" s="1307" t="e">
        <f t="shared" si="7"/>
        <v>#VALUE!</v>
      </c>
      <c r="EN667" s="1307"/>
      <c r="EO667" s="1307"/>
      <c r="EP667" s="1307"/>
      <c r="EQ667" s="1307"/>
      <c r="ER667" s="1307" t="e">
        <f t="shared" si="8"/>
        <v>#VALUE!</v>
      </c>
      <c r="ES667" s="1307"/>
      <c r="ET667" s="1307"/>
      <c r="EU667" s="1307"/>
      <c r="EV667" s="1307"/>
      <c r="EW667" s="1307" t="e">
        <f t="shared" si="9"/>
        <v>#VALUE!</v>
      </c>
      <c r="EX667" s="1307"/>
      <c r="EY667" s="1307"/>
      <c r="EZ667" s="1307"/>
      <c r="FA667" s="1307"/>
    </row>
    <row r="668" spans="1:157" ht="12.95" customHeight="1">
      <c r="A668" s="22"/>
      <c r="B668" t="s">
        <v>85</v>
      </c>
      <c r="G668" s="1359"/>
      <c r="H668" s="1359"/>
      <c r="I668" s="1359"/>
      <c r="J668" s="1359"/>
      <c r="K668" s="1359"/>
      <c r="L668" s="1359"/>
      <c r="M668" s="1359"/>
      <c r="N668" s="1359"/>
      <c r="O668" s="1359"/>
      <c r="P668" s="1359"/>
      <c r="Q668" s="1359"/>
      <c r="R668" s="1359"/>
      <c r="T668" s="22"/>
      <c r="U668" t="s">
        <v>85</v>
      </c>
      <c r="Z668" s="1359"/>
      <c r="AA668" s="1359"/>
      <c r="AB668" s="1359"/>
      <c r="AC668" s="1359"/>
      <c r="AD668" s="1359"/>
      <c r="AE668" s="1359"/>
      <c r="AF668" s="1359"/>
      <c r="AG668" s="1359"/>
      <c r="AH668" s="1359"/>
      <c r="AI668" s="1359"/>
      <c r="AJ668" s="1359"/>
      <c r="AK668" s="1359"/>
      <c r="AZ668" s="34"/>
      <c r="BA668" s="34"/>
      <c r="BB668" s="34"/>
      <c r="BC668" s="34"/>
      <c r="BD668" s="34"/>
      <c r="BE668" s="34"/>
      <c r="BF668" s="34"/>
      <c r="BG668" s="34"/>
      <c r="BH668" s="34"/>
      <c r="BI668" s="34"/>
      <c r="BJ668" s="34"/>
      <c r="BK668" s="34"/>
      <c r="BL668" s="34"/>
      <c r="BM668" s="34"/>
      <c r="DX668" s="1307" t="e">
        <f t="shared" si="4"/>
        <v>#VALUE!</v>
      </c>
      <c r="DY668" s="1307"/>
      <c r="DZ668" s="1307"/>
      <c r="EA668" s="1307"/>
      <c r="EB668" s="1307"/>
      <c r="EC668" s="1307" t="e">
        <f t="shared" si="5"/>
        <v>#VALUE!</v>
      </c>
      <c r="ED668" s="1307"/>
      <c r="EE668" s="1307"/>
      <c r="EF668" s="1307"/>
      <c r="EG668" s="1307"/>
      <c r="EH668" s="1307" t="e">
        <f t="shared" si="6"/>
        <v>#VALUE!</v>
      </c>
      <c r="EI668" s="1307"/>
      <c r="EJ668" s="1307"/>
      <c r="EK668" s="1307"/>
      <c r="EL668" s="1307"/>
      <c r="EM668" s="1307" t="e">
        <f t="shared" si="7"/>
        <v>#VALUE!</v>
      </c>
      <c r="EN668" s="1307"/>
      <c r="EO668" s="1307"/>
      <c r="EP668" s="1307"/>
      <c r="EQ668" s="1307"/>
      <c r="ER668" s="1307" t="e">
        <f t="shared" si="8"/>
        <v>#VALUE!</v>
      </c>
      <c r="ES668" s="1307"/>
      <c r="ET668" s="1307"/>
      <c r="EU668" s="1307"/>
      <c r="EV668" s="1307"/>
      <c r="EW668" s="1307" t="e">
        <f t="shared" si="9"/>
        <v>#VALUE!</v>
      </c>
      <c r="EX668" s="1307"/>
      <c r="EY668" s="1307"/>
      <c r="EZ668" s="1307"/>
      <c r="FA668" s="1307"/>
    </row>
    <row r="669" spans="1:157" ht="12.95" customHeight="1">
      <c r="A669" s="22"/>
      <c r="B669" t="s">
        <v>580</v>
      </c>
      <c r="G669" s="1359"/>
      <c r="H669" s="1359"/>
      <c r="I669" s="1359"/>
      <c r="J669" s="1359"/>
      <c r="K669" s="1359"/>
      <c r="L669" s="1359"/>
      <c r="M669" s="1359"/>
      <c r="N669" s="1359"/>
      <c r="O669" s="1359"/>
      <c r="P669" s="1359"/>
      <c r="Q669" s="1359"/>
      <c r="R669" s="1359"/>
      <c r="T669" s="22"/>
      <c r="U669" t="s">
        <v>580</v>
      </c>
      <c r="Z669" s="1399"/>
      <c r="AA669" s="1399"/>
      <c r="AB669" s="1399"/>
      <c r="AC669" s="1399"/>
      <c r="AD669" s="1399"/>
      <c r="AE669" s="1399"/>
      <c r="AF669" s="1399"/>
      <c r="AG669" s="1399"/>
      <c r="AH669" s="1399"/>
      <c r="AI669" s="1399"/>
      <c r="AJ669" s="1399"/>
      <c r="AK669" s="1399"/>
      <c r="AZ669" s="34"/>
      <c r="BA669" s="34"/>
      <c r="BB669" s="34"/>
      <c r="BC669" s="34"/>
      <c r="BD669" s="34"/>
      <c r="BE669" s="34"/>
      <c r="BF669" s="34"/>
      <c r="BG669" s="34"/>
      <c r="BH669" s="34"/>
      <c r="BI669" s="34"/>
      <c r="BJ669" s="34"/>
      <c r="BK669" s="34"/>
      <c r="BL669" s="34"/>
      <c r="BM669" s="34"/>
      <c r="DX669" s="1307" t="e">
        <f t="shared" si="4"/>
        <v>#VALUE!</v>
      </c>
      <c r="DY669" s="1307"/>
      <c r="DZ669" s="1307"/>
      <c r="EA669" s="1307"/>
      <c r="EB669" s="1307"/>
      <c r="EC669" s="1307" t="e">
        <f t="shared" si="5"/>
        <v>#VALUE!</v>
      </c>
      <c r="ED669" s="1307"/>
      <c r="EE669" s="1307"/>
      <c r="EF669" s="1307"/>
      <c r="EG669" s="1307"/>
      <c r="EH669" s="1307" t="e">
        <f t="shared" si="6"/>
        <v>#VALUE!</v>
      </c>
      <c r="EI669" s="1307"/>
      <c r="EJ669" s="1307"/>
      <c r="EK669" s="1307"/>
      <c r="EL669" s="1307"/>
      <c r="EM669" s="1307" t="e">
        <f t="shared" si="7"/>
        <v>#VALUE!</v>
      </c>
      <c r="EN669" s="1307"/>
      <c r="EO669" s="1307"/>
      <c r="EP669" s="1307"/>
      <c r="EQ669" s="1307"/>
      <c r="ER669" s="1307" t="e">
        <f t="shared" si="8"/>
        <v>#VALUE!</v>
      </c>
      <c r="ES669" s="1307"/>
      <c r="ET669" s="1307"/>
      <c r="EU669" s="1307"/>
      <c r="EV669" s="1307"/>
      <c r="EW669" s="1307" t="e">
        <f t="shared" si="9"/>
        <v>#VALUE!</v>
      </c>
      <c r="EX669" s="1307"/>
      <c r="EY669" s="1307"/>
      <c r="EZ669" s="1307"/>
      <c r="FA669" s="1307"/>
    </row>
    <row r="670" spans="1:157" ht="12.95" customHeight="1">
      <c r="A670" s="22"/>
      <c r="B670" t="s">
        <v>17</v>
      </c>
      <c r="G670" s="1359"/>
      <c r="H670" s="1359"/>
      <c r="I670" s="1359"/>
      <c r="J670" s="1359"/>
      <c r="K670" s="1359"/>
      <c r="L670" s="1359"/>
      <c r="M670" s="1359"/>
      <c r="N670" s="1359"/>
      <c r="O670" s="1359"/>
      <c r="P670" s="1359"/>
      <c r="Q670" s="1359"/>
      <c r="R670" s="1359"/>
      <c r="T670" s="22"/>
      <c r="U670" t="s">
        <v>17</v>
      </c>
      <c r="Z670" s="1399"/>
      <c r="AA670" s="1399"/>
      <c r="AB670" s="1399"/>
      <c r="AC670" s="1399"/>
      <c r="AD670" s="1399"/>
      <c r="AE670" s="1399"/>
      <c r="AF670" s="1399"/>
      <c r="AG670" s="1399"/>
      <c r="AH670" s="1399"/>
      <c r="AI670" s="1399"/>
      <c r="AJ670" s="1399"/>
      <c r="AK670" s="1399"/>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E670" s="3"/>
      <c r="DF670" s="3"/>
      <c r="DX670" s="1307" t="e">
        <f t="shared" si="4"/>
        <v>#VALUE!</v>
      </c>
      <c r="DY670" s="1307"/>
      <c r="DZ670" s="1307"/>
      <c r="EA670" s="1307"/>
      <c r="EB670" s="1307"/>
      <c r="EC670" s="1307" t="e">
        <f t="shared" si="5"/>
        <v>#VALUE!</v>
      </c>
      <c r="ED670" s="1307"/>
      <c r="EE670" s="1307"/>
      <c r="EF670" s="1307"/>
      <c r="EG670" s="1307"/>
      <c r="EH670" s="1307" t="e">
        <f t="shared" si="6"/>
        <v>#VALUE!</v>
      </c>
      <c r="EI670" s="1307"/>
      <c r="EJ670" s="1307"/>
      <c r="EK670" s="1307"/>
      <c r="EL670" s="1307"/>
      <c r="EM670" s="1307" t="e">
        <f t="shared" si="7"/>
        <v>#VALUE!</v>
      </c>
      <c r="EN670" s="1307"/>
      <c r="EO670" s="1307"/>
      <c r="EP670" s="1307"/>
      <c r="EQ670" s="1307"/>
      <c r="ER670" s="1307" t="e">
        <f t="shared" si="8"/>
        <v>#VALUE!</v>
      </c>
      <c r="ES670" s="1307"/>
      <c r="ET670" s="1307"/>
      <c r="EU670" s="1307"/>
      <c r="EV670" s="1307"/>
      <c r="EW670" s="1307" t="e">
        <f t="shared" si="9"/>
        <v>#VALUE!</v>
      </c>
      <c r="EX670" s="1307"/>
      <c r="EY670" s="1307"/>
      <c r="EZ670" s="1307"/>
      <c r="FA670" s="1307"/>
    </row>
    <row r="671" spans="1:157" ht="12.95" customHeight="1">
      <c r="A671" s="22"/>
      <c r="B671" t="s">
        <v>316</v>
      </c>
      <c r="G671" s="1329"/>
      <c r="H671" s="1329"/>
      <c r="I671" s="1329"/>
      <c r="J671" s="1329"/>
      <c r="K671" s="1329"/>
      <c r="L671" s="1329"/>
      <c r="O671" s="33" t="s">
        <v>206</v>
      </c>
      <c r="P671" s="1416"/>
      <c r="Q671" s="1416"/>
      <c r="R671" s="1416"/>
      <c r="T671" s="22"/>
      <c r="U671" t="s">
        <v>316</v>
      </c>
      <c r="Z671" s="1329"/>
      <c r="AA671" s="1329"/>
      <c r="AB671" s="1329"/>
      <c r="AC671" s="1329"/>
      <c r="AD671" s="1329"/>
      <c r="AE671" s="1329"/>
      <c r="AH671" s="33" t="s">
        <v>206</v>
      </c>
      <c r="AI671" s="1416"/>
      <c r="AJ671" s="1416"/>
      <c r="AK671" s="1416"/>
      <c r="AZ671" s="3"/>
      <c r="BA671" s="3"/>
      <c r="BB671" s="3"/>
      <c r="BC671" s="3"/>
      <c r="BD671" s="3"/>
      <c r="BE671" s="3"/>
      <c r="BF671" s="3"/>
      <c r="BG671" s="3"/>
      <c r="BH671" s="3"/>
      <c r="BI671" s="3"/>
      <c r="BJ671" s="3"/>
      <c r="BK671" s="3"/>
      <c r="BL671" s="3"/>
      <c r="BM671" s="3"/>
      <c r="BN671" s="3"/>
      <c r="BO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c r="DX671" s="1307" t="e">
        <f t="shared" si="4"/>
        <v>#VALUE!</v>
      </c>
      <c r="DY671" s="1307"/>
      <c r="DZ671" s="1307"/>
      <c r="EA671" s="1307"/>
      <c r="EB671" s="1307"/>
      <c r="EC671" s="1307" t="e">
        <f t="shared" si="5"/>
        <v>#VALUE!</v>
      </c>
      <c r="ED671" s="1307"/>
      <c r="EE671" s="1307"/>
      <c r="EF671" s="1307"/>
      <c r="EG671" s="1307"/>
      <c r="EH671" s="1307" t="e">
        <f t="shared" si="6"/>
        <v>#VALUE!</v>
      </c>
      <c r="EI671" s="1307"/>
      <c r="EJ671" s="1307"/>
      <c r="EK671" s="1307"/>
      <c r="EL671" s="1307"/>
      <c r="EM671" s="1307" t="e">
        <f t="shared" si="7"/>
        <v>#VALUE!</v>
      </c>
      <c r="EN671" s="1307"/>
      <c r="EO671" s="1307"/>
      <c r="EP671" s="1307"/>
      <c r="EQ671" s="1307"/>
      <c r="ER671" s="1307" t="e">
        <f t="shared" si="8"/>
        <v>#VALUE!</v>
      </c>
      <c r="ES671" s="1307"/>
      <c r="ET671" s="1307"/>
      <c r="EU671" s="1307"/>
      <c r="EV671" s="1307"/>
      <c r="EW671" s="1307" t="e">
        <f t="shared" si="9"/>
        <v>#VALUE!</v>
      </c>
      <c r="EX671" s="1307"/>
      <c r="EY671" s="1307"/>
      <c r="EZ671" s="1307"/>
      <c r="FA671" s="1307"/>
    </row>
    <row r="672" spans="1:157" ht="12.95" customHeight="1">
      <c r="A672" s="22"/>
      <c r="B672" t="s">
        <v>18</v>
      </c>
      <c r="H672" s="1359"/>
      <c r="I672" s="1359"/>
      <c r="J672" s="1359"/>
      <c r="K672" s="1359"/>
      <c r="L672" s="1359"/>
      <c r="M672" s="1359"/>
      <c r="N672" s="1359"/>
      <c r="O672" s="1359"/>
      <c r="P672" s="1359"/>
      <c r="Q672" s="1359"/>
      <c r="R672" s="1359"/>
      <c r="T672" s="22"/>
      <c r="U672" t="s">
        <v>18</v>
      </c>
      <c r="AA672" s="1359"/>
      <c r="AB672" s="1359"/>
      <c r="AC672" s="1359"/>
      <c r="AD672" s="1359"/>
      <c r="AE672" s="1359"/>
      <c r="AF672" s="1359"/>
      <c r="AG672" s="1359"/>
      <c r="AH672" s="1359"/>
      <c r="AI672" s="1359"/>
      <c r="AJ672" s="1359"/>
      <c r="AK672" s="1359"/>
      <c r="AZ672" s="3"/>
      <c r="BA672" s="3"/>
      <c r="BB672" s="3"/>
      <c r="BC672" s="3"/>
      <c r="BD672" s="3"/>
      <c r="BE672" s="3"/>
      <c r="BF672" s="3"/>
      <c r="BG672" s="3"/>
      <c r="BH672" s="3"/>
      <c r="BI672" s="3"/>
      <c r="BJ672" s="3"/>
      <c r="BK672" s="3"/>
      <c r="BL672" s="3"/>
      <c r="BM672" s="3"/>
      <c r="BN672" s="3"/>
      <c r="BO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c r="DX672" s="1307" t="e">
        <f t="shared" si="4"/>
        <v>#VALUE!</v>
      </c>
      <c r="DY672" s="1307"/>
      <c r="DZ672" s="1307"/>
      <c r="EA672" s="1307"/>
      <c r="EB672" s="1307"/>
      <c r="EC672" s="1307" t="e">
        <f t="shared" si="5"/>
        <v>#VALUE!</v>
      </c>
      <c r="ED672" s="1307"/>
      <c r="EE672" s="1307"/>
      <c r="EF672" s="1307"/>
      <c r="EG672" s="1307"/>
      <c r="EH672" s="1307" t="e">
        <f t="shared" si="6"/>
        <v>#VALUE!</v>
      </c>
      <c r="EI672" s="1307"/>
      <c r="EJ672" s="1307"/>
      <c r="EK672" s="1307"/>
      <c r="EL672" s="1307"/>
      <c r="EM672" s="1307" t="e">
        <f t="shared" si="7"/>
        <v>#VALUE!</v>
      </c>
      <c r="EN672" s="1307"/>
      <c r="EO672" s="1307"/>
      <c r="EP672" s="1307"/>
      <c r="EQ672" s="1307"/>
      <c r="ER672" s="1307" t="e">
        <f t="shared" si="8"/>
        <v>#VALUE!</v>
      </c>
      <c r="ES672" s="1307"/>
      <c r="ET672" s="1307"/>
      <c r="EU672" s="1307"/>
      <c r="EV672" s="1307"/>
      <c r="EW672" s="1307" t="e">
        <f t="shared" si="9"/>
        <v>#VALUE!</v>
      </c>
      <c r="EX672" s="1307"/>
      <c r="EY672" s="1307"/>
      <c r="EZ672" s="1307"/>
      <c r="FA672" s="1307"/>
    </row>
    <row r="673" spans="1:157" ht="12.95" customHeight="1">
      <c r="A673" s="22"/>
      <c r="B673" t="s">
        <v>20</v>
      </c>
      <c r="N673" s="1324" t="s">
        <v>669</v>
      </c>
      <c r="O673" s="1324"/>
      <c r="T673" s="22"/>
      <c r="U673" t="s">
        <v>20</v>
      </c>
      <c r="AG673" s="1324" t="s">
        <v>669</v>
      </c>
      <c r="AH673" s="1324"/>
      <c r="AZ673" s="3"/>
      <c r="BA673" s="3"/>
      <c r="BB673" s="3"/>
      <c r="BC673" s="3"/>
      <c r="BD673" s="3"/>
      <c r="BE673" s="3"/>
      <c r="BF673" s="3"/>
      <c r="BG673" s="3"/>
      <c r="BH673" s="3"/>
      <c r="BI673" s="3"/>
      <c r="BJ673" s="3"/>
      <c r="BK673" s="3"/>
      <c r="BL673" s="3"/>
      <c r="BM673" s="3"/>
      <c r="BN673" s="3"/>
      <c r="BO673" s="3"/>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c r="DX673" s="1307" t="e">
        <f t="shared" si="4"/>
        <v>#VALUE!</v>
      </c>
      <c r="DY673" s="1307"/>
      <c r="DZ673" s="1307"/>
      <c r="EA673" s="1307"/>
      <c r="EB673" s="1307"/>
      <c r="EC673" s="1307" t="e">
        <f t="shared" si="5"/>
        <v>#VALUE!</v>
      </c>
      <c r="ED673" s="1307"/>
      <c r="EE673" s="1307"/>
      <c r="EF673" s="1307"/>
      <c r="EG673" s="1307"/>
      <c r="EH673" s="1307" t="e">
        <f t="shared" si="6"/>
        <v>#VALUE!</v>
      </c>
      <c r="EI673" s="1307"/>
      <c r="EJ673" s="1307"/>
      <c r="EK673" s="1307"/>
      <c r="EL673" s="1307"/>
      <c r="EM673" s="1307" t="e">
        <f t="shared" si="7"/>
        <v>#VALUE!</v>
      </c>
      <c r="EN673" s="1307"/>
      <c r="EO673" s="1307"/>
      <c r="EP673" s="1307"/>
      <c r="EQ673" s="1307"/>
      <c r="ER673" s="1307" t="e">
        <f t="shared" si="8"/>
        <v>#VALUE!</v>
      </c>
      <c r="ES673" s="1307"/>
      <c r="ET673" s="1307"/>
      <c r="EU673" s="1307"/>
      <c r="EV673" s="1307"/>
      <c r="EW673" s="1307" t="e">
        <f t="shared" si="9"/>
        <v>#VALUE!</v>
      </c>
      <c r="EX673" s="1307"/>
      <c r="EY673" s="1307"/>
      <c r="EZ673" s="1307"/>
      <c r="FA673" s="1307"/>
    </row>
    <row r="674" spans="1:157" ht="12.95" customHeight="1">
      <c r="A674" s="22"/>
      <c r="T674" s="22"/>
      <c r="AZ674" s="3"/>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c r="DX674" s="1307" t="e">
        <f t="shared" si="4"/>
        <v>#VALUE!</v>
      </c>
      <c r="DY674" s="1307"/>
      <c r="DZ674" s="1307"/>
      <c r="EA674" s="1307"/>
      <c r="EB674" s="1307"/>
      <c r="EC674" s="1307" t="e">
        <f t="shared" si="5"/>
        <v>#VALUE!</v>
      </c>
      <c r="ED674" s="1307"/>
      <c r="EE674" s="1307"/>
      <c r="EF674" s="1307"/>
      <c r="EG674" s="1307"/>
      <c r="EH674" s="1307" t="e">
        <f t="shared" si="6"/>
        <v>#VALUE!</v>
      </c>
      <c r="EI674" s="1307"/>
      <c r="EJ674" s="1307"/>
      <c r="EK674" s="1307"/>
      <c r="EL674" s="1307"/>
      <c r="EM674" s="1307" t="e">
        <f t="shared" si="7"/>
        <v>#VALUE!</v>
      </c>
      <c r="EN674" s="1307"/>
      <c r="EO674" s="1307"/>
      <c r="EP674" s="1307"/>
      <c r="EQ674" s="1307"/>
      <c r="ER674" s="1307" t="e">
        <f t="shared" si="8"/>
        <v>#VALUE!</v>
      </c>
      <c r="ES674" s="1307"/>
      <c r="ET674" s="1307"/>
      <c r="EU674" s="1307"/>
      <c r="EV674" s="1307"/>
      <c r="EW674" s="1307" t="e">
        <f t="shared" si="9"/>
        <v>#VALUE!</v>
      </c>
      <c r="EX674" s="1307"/>
      <c r="EY674" s="1307"/>
      <c r="EZ674" s="1307"/>
      <c r="FA674" s="1307"/>
    </row>
    <row r="675" spans="1:157" ht="12.95" customHeight="1">
      <c r="A675" s="55" t="s">
        <v>455</v>
      </c>
      <c r="B675" t="s">
        <v>463</v>
      </c>
      <c r="G675" s="1314">
        <f>C641</f>
        <v>0</v>
      </c>
      <c r="H675" s="1314"/>
      <c r="I675" s="1314"/>
      <c r="J675" s="1314"/>
      <c r="K675" s="1314"/>
      <c r="L675" s="1314"/>
      <c r="M675" s="1314"/>
      <c r="N675" s="1314"/>
      <c r="O675" s="1314"/>
      <c r="P675" s="1314"/>
      <c r="Q675" s="1314"/>
      <c r="R675" s="1314"/>
      <c r="T675" s="55" t="s">
        <v>456</v>
      </c>
      <c r="U675" t="s">
        <v>463</v>
      </c>
      <c r="Z675" s="1314">
        <f>C642</f>
        <v>0</v>
      </c>
      <c r="AA675" s="1314"/>
      <c r="AB675" s="1314"/>
      <c r="AC675" s="1314"/>
      <c r="AD675" s="1314"/>
      <c r="AE675" s="1314"/>
      <c r="AF675" s="1314"/>
      <c r="AG675" s="1314"/>
      <c r="AH675" s="1314"/>
      <c r="AI675" s="1314"/>
      <c r="AJ675" s="1314"/>
      <c r="AK675" s="1314"/>
      <c r="AZ675" s="3"/>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c r="DX675" s="1307" t="e">
        <f t="shared" si="4"/>
        <v>#VALUE!</v>
      </c>
      <c r="DY675" s="1307"/>
      <c r="DZ675" s="1307"/>
      <c r="EA675" s="1307"/>
      <c r="EB675" s="1307"/>
      <c r="EC675" s="1307" t="e">
        <f t="shared" si="5"/>
        <v>#VALUE!</v>
      </c>
      <c r="ED675" s="1307"/>
      <c r="EE675" s="1307"/>
      <c r="EF675" s="1307"/>
      <c r="EG675" s="1307"/>
      <c r="EH675" s="1307" t="e">
        <f t="shared" si="6"/>
        <v>#VALUE!</v>
      </c>
      <c r="EI675" s="1307"/>
      <c r="EJ675" s="1307"/>
      <c r="EK675" s="1307"/>
      <c r="EL675" s="1307"/>
      <c r="EM675" s="1307" t="e">
        <f t="shared" si="7"/>
        <v>#VALUE!</v>
      </c>
      <c r="EN675" s="1307"/>
      <c r="EO675" s="1307"/>
      <c r="EP675" s="1307"/>
      <c r="EQ675" s="1307"/>
      <c r="ER675" s="1307" t="e">
        <f t="shared" si="8"/>
        <v>#VALUE!</v>
      </c>
      <c r="ES675" s="1307"/>
      <c r="ET675" s="1307"/>
      <c r="EU675" s="1307"/>
      <c r="EV675" s="1307"/>
      <c r="EW675" s="1307" t="e">
        <f t="shared" si="9"/>
        <v>#VALUE!</v>
      </c>
      <c r="EX675" s="1307"/>
      <c r="EY675" s="1307"/>
      <c r="EZ675" s="1307"/>
      <c r="FA675" s="1307"/>
    </row>
    <row r="676" spans="1:157" ht="12.95" customHeight="1">
      <c r="A676" s="22"/>
      <c r="B676" t="s">
        <v>85</v>
      </c>
      <c r="G676" s="1359"/>
      <c r="H676" s="1359"/>
      <c r="I676" s="1359"/>
      <c r="J676" s="1359"/>
      <c r="K676" s="1359"/>
      <c r="L676" s="1359"/>
      <c r="M676" s="1359"/>
      <c r="N676" s="1359"/>
      <c r="O676" s="1359"/>
      <c r="P676" s="1359"/>
      <c r="Q676" s="1359"/>
      <c r="R676" s="1359"/>
      <c r="T676" s="22"/>
      <c r="U676" t="s">
        <v>85</v>
      </c>
      <c r="Z676" s="1359"/>
      <c r="AA676" s="1359"/>
      <c r="AB676" s="1359"/>
      <c r="AC676" s="1359"/>
      <c r="AD676" s="1359"/>
      <c r="AE676" s="1359"/>
      <c r="AF676" s="1359"/>
      <c r="AG676" s="1359"/>
      <c r="AH676" s="1359"/>
      <c r="AI676" s="1359"/>
      <c r="AJ676" s="1359"/>
      <c r="AK676" s="1359"/>
      <c r="AZ676" s="3"/>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c r="DX676" s="1307" t="e">
        <f t="shared" si="4"/>
        <v>#VALUE!</v>
      </c>
      <c r="DY676" s="1307"/>
      <c r="DZ676" s="1307"/>
      <c r="EA676" s="1307"/>
      <c r="EB676" s="1307"/>
      <c r="EC676" s="1307" t="e">
        <f t="shared" si="5"/>
        <v>#VALUE!</v>
      </c>
      <c r="ED676" s="1307"/>
      <c r="EE676" s="1307"/>
      <c r="EF676" s="1307"/>
      <c r="EG676" s="1307"/>
      <c r="EH676" s="1307" t="e">
        <f t="shared" si="6"/>
        <v>#VALUE!</v>
      </c>
      <c r="EI676" s="1307"/>
      <c r="EJ676" s="1307"/>
      <c r="EK676" s="1307"/>
      <c r="EL676" s="1307"/>
      <c r="EM676" s="1307" t="e">
        <f t="shared" si="7"/>
        <v>#VALUE!</v>
      </c>
      <c r="EN676" s="1307"/>
      <c r="EO676" s="1307"/>
      <c r="EP676" s="1307"/>
      <c r="EQ676" s="1307"/>
      <c r="ER676" s="1307" t="e">
        <f t="shared" si="8"/>
        <v>#VALUE!</v>
      </c>
      <c r="ES676" s="1307"/>
      <c r="ET676" s="1307"/>
      <c r="EU676" s="1307"/>
      <c r="EV676" s="1307"/>
      <c r="EW676" s="1307" t="e">
        <f t="shared" si="9"/>
        <v>#VALUE!</v>
      </c>
      <c r="EX676" s="1307"/>
      <c r="EY676" s="1307"/>
      <c r="EZ676" s="1307"/>
      <c r="FA676" s="1307"/>
    </row>
    <row r="677" spans="1:157" ht="12.95" customHeight="1">
      <c r="A677" s="22"/>
      <c r="B677" t="s">
        <v>580</v>
      </c>
      <c r="G677" s="1359"/>
      <c r="H677" s="1359"/>
      <c r="I677" s="1359"/>
      <c r="J677" s="1359"/>
      <c r="K677" s="1359"/>
      <c r="L677" s="1359"/>
      <c r="M677" s="1359"/>
      <c r="N677" s="1359"/>
      <c r="O677" s="1359"/>
      <c r="P677" s="1359"/>
      <c r="Q677" s="1359"/>
      <c r="R677" s="1359"/>
      <c r="T677" s="22"/>
      <c r="U677" t="s">
        <v>580</v>
      </c>
      <c r="Z677" s="1399"/>
      <c r="AA677" s="1399"/>
      <c r="AB677" s="1399"/>
      <c r="AC677" s="1399"/>
      <c r="AD677" s="1399"/>
      <c r="AE677" s="1399"/>
      <c r="AF677" s="1399"/>
      <c r="AG677" s="1399"/>
      <c r="AH677" s="1399"/>
      <c r="AI677" s="1399"/>
      <c r="AJ677" s="1399"/>
      <c r="AK677" s="1399"/>
      <c r="AZ677" s="3"/>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c r="DX677" s="1307" t="e">
        <f t="shared" si="4"/>
        <v>#VALUE!</v>
      </c>
      <c r="DY677" s="1307"/>
      <c r="DZ677" s="1307"/>
      <c r="EA677" s="1307"/>
      <c r="EB677" s="1307"/>
      <c r="EC677" s="1307" t="e">
        <f t="shared" si="5"/>
        <v>#VALUE!</v>
      </c>
      <c r="ED677" s="1307"/>
      <c r="EE677" s="1307"/>
      <c r="EF677" s="1307"/>
      <c r="EG677" s="1307"/>
      <c r="EH677" s="1307" t="e">
        <f t="shared" si="6"/>
        <v>#VALUE!</v>
      </c>
      <c r="EI677" s="1307"/>
      <c r="EJ677" s="1307"/>
      <c r="EK677" s="1307"/>
      <c r="EL677" s="1307"/>
      <c r="EM677" s="1307" t="e">
        <f t="shared" si="7"/>
        <v>#VALUE!</v>
      </c>
      <c r="EN677" s="1307"/>
      <c r="EO677" s="1307"/>
      <c r="EP677" s="1307"/>
      <c r="EQ677" s="1307"/>
      <c r="ER677" s="1307" t="e">
        <f t="shared" si="8"/>
        <v>#VALUE!</v>
      </c>
      <c r="ES677" s="1307"/>
      <c r="ET677" s="1307"/>
      <c r="EU677" s="1307"/>
      <c r="EV677" s="1307"/>
      <c r="EW677" s="1307" t="e">
        <f t="shared" si="9"/>
        <v>#VALUE!</v>
      </c>
      <c r="EX677" s="1307"/>
      <c r="EY677" s="1307"/>
      <c r="EZ677" s="1307"/>
      <c r="FA677" s="1307"/>
    </row>
    <row r="678" spans="1:157" ht="12.95" customHeight="1">
      <c r="A678" s="22"/>
      <c r="B678" t="s">
        <v>17</v>
      </c>
      <c r="G678" s="1359"/>
      <c r="H678" s="1359"/>
      <c r="I678" s="1359"/>
      <c r="J678" s="1359"/>
      <c r="K678" s="1359"/>
      <c r="L678" s="1359"/>
      <c r="M678" s="1359"/>
      <c r="N678" s="1359"/>
      <c r="O678" s="1359"/>
      <c r="P678" s="1359"/>
      <c r="Q678" s="1359"/>
      <c r="R678" s="1359"/>
      <c r="T678" s="22"/>
      <c r="U678" t="s">
        <v>17</v>
      </c>
      <c r="Z678" s="1399"/>
      <c r="AA678" s="1399"/>
      <c r="AB678" s="1399"/>
      <c r="AC678" s="1399"/>
      <c r="AD678" s="1399"/>
      <c r="AE678" s="1399"/>
      <c r="AF678" s="1399"/>
      <c r="AG678" s="1399"/>
      <c r="AH678" s="1399"/>
      <c r="AI678" s="1399"/>
      <c r="AJ678" s="1399"/>
      <c r="AK678" s="1399"/>
      <c r="AZ678" s="3"/>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c r="DX678" s="1307">
        <f>SUMIF(DX643:EB677,"&gt;0")</f>
        <v>826</v>
      </c>
      <c r="DY678" s="1307"/>
      <c r="DZ678" s="1307"/>
      <c r="EA678" s="1307"/>
      <c r="EB678" s="1307"/>
      <c r="EC678" s="1307">
        <f>SUMIF(EC643:EG677,"&gt;0")</f>
        <v>1704.0250000000001</v>
      </c>
      <c r="ED678" s="1307"/>
      <c r="EE678" s="1307"/>
      <c r="EF678" s="1307"/>
      <c r="EG678" s="1307"/>
      <c r="EH678" s="1307">
        <f>SUMIF(EH643:EL677,"&gt;0")</f>
        <v>1939.4285714285713</v>
      </c>
      <c r="EI678" s="1307"/>
      <c r="EJ678" s="1307"/>
      <c r="EK678" s="1307"/>
      <c r="EL678" s="1307"/>
      <c r="EM678" s="1307">
        <f>SUMIF(EM643:EQ677,"&gt;0")</f>
        <v>0</v>
      </c>
      <c r="EN678" s="1307"/>
      <c r="EO678" s="1307"/>
      <c r="EP678" s="1307"/>
      <c r="EQ678" s="1307"/>
      <c r="ER678" s="1307">
        <f>SUMIF(ER643:EV677,"&gt;0")</f>
        <v>0</v>
      </c>
      <c r="ES678" s="1307"/>
      <c r="ET678" s="1307"/>
      <c r="EU678" s="1307"/>
      <c r="EV678" s="1307"/>
      <c r="EW678" s="1307">
        <f>SUMIF(EW643:FA677,"&gt;0")</f>
        <v>0</v>
      </c>
      <c r="EX678" s="1307"/>
      <c r="EY678" s="1307"/>
      <c r="EZ678" s="1307"/>
      <c r="FA678" s="1307"/>
    </row>
    <row r="679" spans="1:157" ht="12.95" customHeight="1">
      <c r="A679" s="22"/>
      <c r="B679" t="s">
        <v>316</v>
      </c>
      <c r="G679" s="1329"/>
      <c r="H679" s="1329"/>
      <c r="I679" s="1329"/>
      <c r="J679" s="1329"/>
      <c r="K679" s="1329"/>
      <c r="L679" s="1329"/>
      <c r="O679" s="33" t="s">
        <v>206</v>
      </c>
      <c r="P679" s="1416"/>
      <c r="Q679" s="1416"/>
      <c r="R679" s="1416"/>
      <c r="T679" s="22"/>
      <c r="U679" t="s">
        <v>316</v>
      </c>
      <c r="Z679" s="1329"/>
      <c r="AA679" s="1329"/>
      <c r="AB679" s="1329"/>
      <c r="AC679" s="1329"/>
      <c r="AD679" s="1329"/>
      <c r="AE679" s="1329"/>
      <c r="AH679" s="33" t="s">
        <v>206</v>
      </c>
      <c r="AI679" s="1416"/>
      <c r="AJ679" s="1416"/>
      <c r="AK679" s="1416"/>
      <c r="AZ679" s="3"/>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57" ht="12.95" customHeight="1">
      <c r="A680" s="22"/>
      <c r="B680" t="s">
        <v>18</v>
      </c>
      <c r="H680" s="1359"/>
      <c r="I680" s="1359"/>
      <c r="J680" s="1359"/>
      <c r="K680" s="1359"/>
      <c r="L680" s="1359"/>
      <c r="M680" s="1359"/>
      <c r="N680" s="1359"/>
      <c r="O680" s="1359"/>
      <c r="P680" s="1359"/>
      <c r="Q680" s="1359"/>
      <c r="R680" s="1359"/>
      <c r="T680" s="22"/>
      <c r="U680" t="s">
        <v>18</v>
      </c>
      <c r="AA680" s="1359"/>
      <c r="AB680" s="1359"/>
      <c r="AC680" s="1359"/>
      <c r="AD680" s="1359"/>
      <c r="AE680" s="1359"/>
      <c r="AF680" s="1359"/>
      <c r="AG680" s="1359"/>
      <c r="AH680" s="1359"/>
      <c r="AI680" s="1359"/>
      <c r="AJ680" s="1359"/>
      <c r="AK680" s="1359"/>
      <c r="AZ680" s="3"/>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57" ht="12.95" customHeight="1">
      <c r="A681" s="22"/>
      <c r="B681" t="s">
        <v>20</v>
      </c>
      <c r="N681" s="1324" t="s">
        <v>669</v>
      </c>
      <c r="O681" s="1324"/>
      <c r="T681" s="22"/>
      <c r="U681" t="s">
        <v>20</v>
      </c>
      <c r="AG681" s="1324" t="s">
        <v>669</v>
      </c>
      <c r="AH681" s="1324"/>
      <c r="AZ681" s="3"/>
    </row>
    <row r="682" spans="1:157" ht="12.95" customHeight="1">
      <c r="A682" s="22"/>
      <c r="T682" s="22"/>
      <c r="AZ682" s="3"/>
    </row>
    <row r="683" spans="1:157" ht="12.95" customHeight="1">
      <c r="A683" s="55" t="s">
        <v>461</v>
      </c>
      <c r="B683" t="s">
        <v>463</v>
      </c>
      <c r="G683" s="1314">
        <f>C643</f>
        <v>0</v>
      </c>
      <c r="H683" s="1314"/>
      <c r="I683" s="1314"/>
      <c r="J683" s="1314"/>
      <c r="K683" s="1314"/>
      <c r="L683" s="1314"/>
      <c r="M683" s="1314"/>
      <c r="N683" s="1314"/>
      <c r="O683" s="1314"/>
      <c r="P683" s="1314"/>
      <c r="Q683" s="1314"/>
      <c r="R683" s="1314"/>
      <c r="T683" s="55" t="s">
        <v>646</v>
      </c>
      <c r="U683" t="s">
        <v>463</v>
      </c>
      <c r="Z683" s="1314">
        <f>C644</f>
        <v>0</v>
      </c>
      <c r="AA683" s="1314"/>
      <c r="AB683" s="1314"/>
      <c r="AC683" s="1314"/>
      <c r="AD683" s="1314"/>
      <c r="AE683" s="1314"/>
      <c r="AF683" s="1314"/>
      <c r="AG683" s="1314"/>
      <c r="AH683" s="1314"/>
      <c r="AI683" s="1314"/>
      <c r="AJ683" s="1314"/>
      <c r="AK683" s="1314"/>
      <c r="AZ683" s="3"/>
    </row>
    <row r="684" spans="1:157" ht="12.95" customHeight="1">
      <c r="A684" s="22"/>
      <c r="B684" t="s">
        <v>85</v>
      </c>
      <c r="G684" s="1359"/>
      <c r="H684" s="1359"/>
      <c r="I684" s="1359"/>
      <c r="J684" s="1359"/>
      <c r="K684" s="1359"/>
      <c r="L684" s="1359"/>
      <c r="M684" s="1359"/>
      <c r="N684" s="1359"/>
      <c r="O684" s="1359"/>
      <c r="P684" s="1359"/>
      <c r="Q684" s="1359"/>
      <c r="R684" s="1359"/>
      <c r="T684" s="22"/>
      <c r="U684" t="s">
        <v>85</v>
      </c>
      <c r="Z684" s="1359"/>
      <c r="AA684" s="1359"/>
      <c r="AB684" s="1359"/>
      <c r="AC684" s="1359"/>
      <c r="AD684" s="1359"/>
      <c r="AE684" s="1359"/>
      <c r="AF684" s="1359"/>
      <c r="AG684" s="1359"/>
      <c r="AH684" s="1359"/>
      <c r="AI684" s="1359"/>
      <c r="AJ684" s="1359"/>
      <c r="AK684" s="1359"/>
      <c r="AZ684" s="3"/>
    </row>
    <row r="685" spans="1:157" ht="12.95" customHeight="1">
      <c r="A685" s="22"/>
      <c r="B685" t="s">
        <v>580</v>
      </c>
      <c r="G685" s="1359"/>
      <c r="H685" s="1359"/>
      <c r="I685" s="1359"/>
      <c r="J685" s="1359"/>
      <c r="K685" s="1359"/>
      <c r="L685" s="1359"/>
      <c r="M685" s="1359"/>
      <c r="N685" s="1359"/>
      <c r="O685" s="1359"/>
      <c r="P685" s="1359"/>
      <c r="Q685" s="1359"/>
      <c r="R685" s="1359"/>
      <c r="T685" s="22"/>
      <c r="U685" t="s">
        <v>580</v>
      </c>
      <c r="Z685" s="1399"/>
      <c r="AA685" s="1399"/>
      <c r="AB685" s="1399"/>
      <c r="AC685" s="1399"/>
      <c r="AD685" s="1399"/>
      <c r="AE685" s="1399"/>
      <c r="AF685" s="1399"/>
      <c r="AG685" s="1399"/>
      <c r="AH685" s="1399"/>
      <c r="AI685" s="1399"/>
      <c r="AJ685" s="1399"/>
      <c r="AK685" s="1399"/>
      <c r="AZ685" s="3"/>
    </row>
    <row r="686" spans="1:157" ht="12.95" customHeight="1">
      <c r="A686" s="22"/>
      <c r="B686" t="s">
        <v>17</v>
      </c>
      <c r="G686" s="1359"/>
      <c r="H686" s="1359"/>
      <c r="I686" s="1359"/>
      <c r="J686" s="1359"/>
      <c r="K686" s="1359"/>
      <c r="L686" s="1359"/>
      <c r="M686" s="1359"/>
      <c r="N686" s="1359"/>
      <c r="O686" s="1359"/>
      <c r="P686" s="1359"/>
      <c r="Q686" s="1359"/>
      <c r="R686" s="1359"/>
      <c r="T686" s="22"/>
      <c r="U686" t="s">
        <v>17</v>
      </c>
      <c r="Z686" s="1399"/>
      <c r="AA686" s="1399"/>
      <c r="AB686" s="1399"/>
      <c r="AC686" s="1399"/>
      <c r="AD686" s="1399"/>
      <c r="AE686" s="1399"/>
      <c r="AF686" s="1399"/>
      <c r="AG686" s="1399"/>
      <c r="AH686" s="1399"/>
      <c r="AI686" s="1399"/>
      <c r="AJ686" s="1399"/>
      <c r="AK686" s="1399"/>
      <c r="AZ686" s="3"/>
    </row>
    <row r="687" spans="1:157" ht="12.95" customHeight="1">
      <c r="A687" s="22"/>
      <c r="B687" t="s">
        <v>316</v>
      </c>
      <c r="G687" s="1329"/>
      <c r="H687" s="1329"/>
      <c r="I687" s="1329"/>
      <c r="J687" s="1329"/>
      <c r="K687" s="1329"/>
      <c r="L687" s="1329"/>
      <c r="O687" s="33" t="s">
        <v>206</v>
      </c>
      <c r="P687" s="1416"/>
      <c r="Q687" s="1416"/>
      <c r="R687" s="1416"/>
      <c r="T687" s="22"/>
      <c r="U687" t="s">
        <v>316</v>
      </c>
      <c r="Z687" s="1329"/>
      <c r="AA687" s="1329"/>
      <c r="AB687" s="1329"/>
      <c r="AC687" s="1329"/>
      <c r="AD687" s="1329"/>
      <c r="AE687" s="1329"/>
      <c r="AH687" s="33" t="s">
        <v>206</v>
      </c>
      <c r="AI687" s="1416"/>
      <c r="AJ687" s="1416"/>
      <c r="AK687" s="1416"/>
      <c r="AZ687" s="3"/>
    </row>
    <row r="688" spans="1:157" ht="12.95" customHeight="1">
      <c r="A688" s="22"/>
      <c r="B688" t="s">
        <v>18</v>
      </c>
      <c r="H688" s="1359"/>
      <c r="I688" s="1359"/>
      <c r="J688" s="1359"/>
      <c r="K688" s="1359"/>
      <c r="L688" s="1359"/>
      <c r="M688" s="1359"/>
      <c r="N688" s="1359"/>
      <c r="O688" s="1359"/>
      <c r="P688" s="1359"/>
      <c r="Q688" s="1359"/>
      <c r="R688" s="1359"/>
      <c r="T688" s="22"/>
      <c r="U688" t="s">
        <v>18</v>
      </c>
      <c r="AA688" s="1359"/>
      <c r="AB688" s="1359"/>
      <c r="AC688" s="1359"/>
      <c r="AD688" s="1359"/>
      <c r="AE688" s="1359"/>
      <c r="AF688" s="1359"/>
      <c r="AG688" s="1359"/>
      <c r="AH688" s="1359"/>
      <c r="AI688" s="1359"/>
      <c r="AJ688" s="1359"/>
      <c r="AK688" s="1359"/>
      <c r="AZ688" s="3"/>
    </row>
    <row r="689" spans="1:52" ht="12.95" customHeight="1">
      <c r="A689" s="22"/>
      <c r="B689" t="s">
        <v>20</v>
      </c>
      <c r="N689" s="1324" t="s">
        <v>669</v>
      </c>
      <c r="O689" s="1324"/>
      <c r="T689" s="22"/>
      <c r="U689" t="s">
        <v>20</v>
      </c>
      <c r="AG689" s="1324" t="s">
        <v>669</v>
      </c>
      <c r="AH689" s="1324"/>
      <c r="AZ689" s="3"/>
    </row>
    <row r="690" spans="1:52" ht="12.95" customHeight="1">
      <c r="A690" s="22"/>
      <c r="T690" s="22"/>
      <c r="AZ690" s="3"/>
    </row>
    <row r="691" spans="1:52" ht="12.95" customHeight="1">
      <c r="A691" s="55" t="s">
        <v>362</v>
      </c>
      <c r="B691" t="s">
        <v>463</v>
      </c>
      <c r="G691" s="1314">
        <f>C645</f>
        <v>0</v>
      </c>
      <c r="H691" s="1314"/>
      <c r="I691" s="1314"/>
      <c r="J691" s="1314"/>
      <c r="K691" s="1314"/>
      <c r="L691" s="1314"/>
      <c r="M691" s="1314"/>
      <c r="N691" s="1314"/>
      <c r="O691" s="1314"/>
      <c r="P691" s="1314"/>
      <c r="Q691" s="1314"/>
      <c r="R691" s="1314"/>
      <c r="T691" s="55" t="s">
        <v>363</v>
      </c>
      <c r="U691" t="s">
        <v>463</v>
      </c>
      <c r="Z691" s="1314">
        <f>C646</f>
        <v>0</v>
      </c>
      <c r="AA691" s="1314"/>
      <c r="AB691" s="1314"/>
      <c r="AC691" s="1314"/>
      <c r="AD691" s="1314"/>
      <c r="AE691" s="1314"/>
      <c r="AF691" s="1314"/>
      <c r="AG691" s="1314"/>
      <c r="AH691" s="1314"/>
      <c r="AI691" s="1314"/>
      <c r="AJ691" s="1314"/>
      <c r="AK691" s="1314"/>
      <c r="AZ691" s="3"/>
    </row>
    <row r="692" spans="1:52" ht="12.95" customHeight="1">
      <c r="B692" t="s">
        <v>85</v>
      </c>
      <c r="G692" s="1359"/>
      <c r="H692" s="1359"/>
      <c r="I692" s="1359"/>
      <c r="J692" s="1359"/>
      <c r="K692" s="1359"/>
      <c r="L692" s="1359"/>
      <c r="M692" s="1359"/>
      <c r="N692" s="1359"/>
      <c r="O692" s="1359"/>
      <c r="P692" s="1359"/>
      <c r="Q692" s="1359"/>
      <c r="R692" s="1359"/>
      <c r="T692" s="22"/>
      <c r="U692" t="s">
        <v>85</v>
      </c>
      <c r="Z692" s="1359"/>
      <c r="AA692" s="1359"/>
      <c r="AB692" s="1359"/>
      <c r="AC692" s="1359"/>
      <c r="AD692" s="1359"/>
      <c r="AE692" s="1359"/>
      <c r="AF692" s="1359"/>
      <c r="AG692" s="1359"/>
      <c r="AH692" s="1359"/>
      <c r="AI692" s="1359"/>
      <c r="AJ692" s="1359"/>
      <c r="AK692" s="1359"/>
      <c r="AZ692" s="3"/>
    </row>
    <row r="693" spans="1:52" ht="12.95" customHeight="1">
      <c r="B693" t="s">
        <v>580</v>
      </c>
      <c r="G693" s="1359"/>
      <c r="H693" s="1359"/>
      <c r="I693" s="1359"/>
      <c r="J693" s="1359"/>
      <c r="K693" s="1359"/>
      <c r="L693" s="1359"/>
      <c r="M693" s="1359"/>
      <c r="N693" s="1359"/>
      <c r="O693" s="1359"/>
      <c r="P693" s="1359"/>
      <c r="Q693" s="1359"/>
      <c r="R693" s="1359"/>
      <c r="U693" t="s">
        <v>580</v>
      </c>
      <c r="Z693" s="1399"/>
      <c r="AA693" s="1399"/>
      <c r="AB693" s="1399"/>
      <c r="AC693" s="1399"/>
      <c r="AD693" s="1399"/>
      <c r="AE693" s="1399"/>
      <c r="AF693" s="1399"/>
      <c r="AG693" s="1399"/>
      <c r="AH693" s="1399"/>
      <c r="AI693" s="1399"/>
      <c r="AJ693" s="1399"/>
      <c r="AK693" s="1399"/>
      <c r="AZ693" s="3"/>
    </row>
    <row r="694" spans="1:52" ht="12.95" customHeight="1">
      <c r="B694" t="s">
        <v>17</v>
      </c>
      <c r="G694" s="1359"/>
      <c r="H694" s="1359"/>
      <c r="I694" s="1359"/>
      <c r="J694" s="1359"/>
      <c r="K694" s="1359"/>
      <c r="L694" s="1359"/>
      <c r="M694" s="1359"/>
      <c r="N694" s="1359"/>
      <c r="O694" s="1359"/>
      <c r="P694" s="1359"/>
      <c r="Q694" s="1359"/>
      <c r="R694" s="1359"/>
      <c r="U694" t="s">
        <v>17</v>
      </c>
      <c r="Z694" s="1399"/>
      <c r="AA694" s="1399"/>
      <c r="AB694" s="1399"/>
      <c r="AC694" s="1399"/>
      <c r="AD694" s="1399"/>
      <c r="AE694" s="1399"/>
      <c r="AF694" s="1399"/>
      <c r="AG694" s="1399"/>
      <c r="AH694" s="1399"/>
      <c r="AI694" s="1399"/>
      <c r="AJ694" s="1399"/>
      <c r="AK694" s="1399"/>
      <c r="AZ694" s="3"/>
    </row>
    <row r="695" spans="1:52" ht="12.95" customHeight="1">
      <c r="B695" t="s">
        <v>316</v>
      </c>
      <c r="G695" s="1329"/>
      <c r="H695" s="1329"/>
      <c r="I695" s="1329"/>
      <c r="J695" s="1329"/>
      <c r="K695" s="1329"/>
      <c r="L695" s="1329"/>
      <c r="O695" s="33" t="s">
        <v>206</v>
      </c>
      <c r="P695" s="1416"/>
      <c r="Q695" s="1416"/>
      <c r="R695" s="1416"/>
      <c r="U695" t="s">
        <v>316</v>
      </c>
      <c r="Z695" s="1329"/>
      <c r="AA695" s="1329"/>
      <c r="AB695" s="1329"/>
      <c r="AC695" s="1329"/>
      <c r="AD695" s="1329"/>
      <c r="AE695" s="1329"/>
      <c r="AH695" s="33" t="s">
        <v>206</v>
      </c>
      <c r="AI695" s="1416"/>
      <c r="AJ695" s="1416"/>
      <c r="AK695" s="1416"/>
      <c r="AZ695" s="3"/>
    </row>
    <row r="696" spans="1:52" ht="12.95" customHeight="1">
      <c r="B696" t="s">
        <v>18</v>
      </c>
      <c r="H696" s="1359"/>
      <c r="I696" s="1359"/>
      <c r="J696" s="1359"/>
      <c r="K696" s="1359"/>
      <c r="L696" s="1359"/>
      <c r="M696" s="1359"/>
      <c r="N696" s="1359"/>
      <c r="O696" s="1359"/>
      <c r="P696" s="1359"/>
      <c r="Q696" s="1359"/>
      <c r="R696" s="1359"/>
      <c r="U696" t="s">
        <v>18</v>
      </c>
      <c r="AA696" s="1359"/>
      <c r="AB696" s="1359"/>
      <c r="AC696" s="1359"/>
      <c r="AD696" s="1359"/>
      <c r="AE696" s="1359"/>
      <c r="AF696" s="1359"/>
      <c r="AG696" s="1359"/>
      <c r="AH696" s="1359"/>
      <c r="AI696" s="1359"/>
      <c r="AJ696" s="1359"/>
      <c r="AK696" s="1359"/>
      <c r="AZ696" s="3"/>
    </row>
    <row r="697" spans="1:52" ht="12.95" customHeight="1">
      <c r="B697" t="s">
        <v>20</v>
      </c>
      <c r="N697" s="1324" t="s">
        <v>669</v>
      </c>
      <c r="O697" s="1324"/>
      <c r="U697" t="s">
        <v>20</v>
      </c>
      <c r="AG697" s="1324" t="s">
        <v>669</v>
      </c>
      <c r="AH697" s="1324"/>
      <c r="AZ697" s="3"/>
    </row>
    <row r="698" spans="1:52" ht="12.95" customHeight="1">
      <c r="AZ698" s="3"/>
    </row>
    <row r="699" spans="1:52" ht="12.95" customHeight="1">
      <c r="A699" s="2" t="s">
        <v>576</v>
      </c>
      <c r="C699" s="2" t="s">
        <v>327</v>
      </c>
      <c r="E699" s="130"/>
      <c r="F699" s="130"/>
      <c r="G699" s="130"/>
      <c r="H699" s="130"/>
      <c r="AZ699" s="3"/>
    </row>
    <row r="700" spans="1:52" ht="12.95" customHeight="1">
      <c r="B700" s="135"/>
      <c r="C700" s="135"/>
      <c r="D700" s="1030" t="s">
        <v>2606</v>
      </c>
      <c r="E700" s="135"/>
      <c r="F700" s="135"/>
      <c r="G700" s="135"/>
      <c r="H700" s="135"/>
      <c r="AZ700" s="3"/>
    </row>
    <row r="701" spans="1:52" ht="12.95" customHeight="1">
      <c r="B701" s="135"/>
      <c r="C701" s="135"/>
      <c r="E701" s="136" t="s">
        <v>434</v>
      </c>
      <c r="F701" s="135"/>
      <c r="G701" s="135"/>
      <c r="H701" s="135"/>
      <c r="AE701" s="1324" t="s">
        <v>545</v>
      </c>
      <c r="AF701" s="1324"/>
      <c r="AZ701" s="3"/>
    </row>
    <row r="702" spans="1:52" ht="12.95" customHeight="1">
      <c r="B702" s="135"/>
      <c r="C702" s="135"/>
      <c r="D702" s="136" t="s">
        <v>437</v>
      </c>
      <c r="E702" s="135"/>
      <c r="F702" s="135"/>
      <c r="G702" s="135"/>
      <c r="H702" s="135"/>
      <c r="AE702" s="1324" t="s">
        <v>545</v>
      </c>
      <c r="AF702" s="1324"/>
      <c r="AZ702" s="3"/>
    </row>
    <row r="703" spans="1:52" ht="12.95" customHeight="1">
      <c r="B703" s="135"/>
      <c r="C703" s="135"/>
      <c r="D703" s="136" t="s">
        <v>920</v>
      </c>
      <c r="E703" s="135"/>
      <c r="F703" s="135"/>
      <c r="G703" s="135"/>
      <c r="H703" s="135"/>
      <c r="AE703" s="1464">
        <v>46161</v>
      </c>
      <c r="AF703" s="1464"/>
      <c r="AG703" s="1464"/>
      <c r="AH703" s="1464"/>
      <c r="AI703" s="1464"/>
    </row>
    <row r="704" spans="1:52" ht="12.95" customHeight="1">
      <c r="B704" s="135"/>
      <c r="C704" s="135"/>
      <c r="D704" s="317" t="s">
        <v>983</v>
      </c>
      <c r="E704" s="135"/>
      <c r="F704" s="135"/>
      <c r="G704" s="135"/>
      <c r="H704" s="135"/>
      <c r="AE704" s="1595">
        <v>46252</v>
      </c>
      <c r="AF704" s="1595"/>
      <c r="AG704" s="1595"/>
      <c r="AH704" s="1595"/>
      <c r="AI704" s="1595"/>
    </row>
    <row r="705" spans="1:110" ht="12.95" customHeight="1">
      <c r="B705" s="135"/>
      <c r="C705" s="135"/>
    </row>
    <row r="706" spans="1:110" ht="12.95" customHeight="1">
      <c r="B706" s="135"/>
      <c r="C706" s="135"/>
      <c r="D706" s="136" t="s">
        <v>816</v>
      </c>
      <c r="E706" s="135"/>
      <c r="F706" s="135"/>
      <c r="G706" s="135"/>
      <c r="H706" s="135"/>
      <c r="AE706" s="1464">
        <v>46419</v>
      </c>
      <c r="AF706" s="1464"/>
      <c r="AG706" s="1464"/>
      <c r="AH706" s="1464"/>
      <c r="AI706" s="1464"/>
    </row>
    <row r="707" spans="1:110" ht="12.95" customHeight="1">
      <c r="B707" s="135"/>
      <c r="C707" s="135"/>
      <c r="D707" s="136" t="s">
        <v>435</v>
      </c>
      <c r="E707" s="135"/>
      <c r="F707" s="135"/>
      <c r="G707" s="135"/>
      <c r="H707" s="135"/>
      <c r="AE707" s="1776">
        <v>0.28999999999999998</v>
      </c>
      <c r="AF707" s="1776"/>
      <c r="AG707" s="1776"/>
      <c r="AH707" s="1776"/>
      <c r="AI707" s="1776"/>
    </row>
    <row r="708" spans="1:110" ht="12.95" customHeight="1">
      <c r="B708" s="135"/>
      <c r="C708" s="135"/>
      <c r="D708" s="136" t="s">
        <v>436</v>
      </c>
      <c r="E708" s="135"/>
      <c r="F708" s="135"/>
      <c r="G708" s="135"/>
      <c r="H708" s="135"/>
      <c r="W708" s="1314" t="str">
        <f>H344</f>
        <v>CMFA</v>
      </c>
      <c r="X708" s="1314"/>
      <c r="Y708" s="1314"/>
      <c r="Z708" s="1314"/>
      <c r="AA708" s="1314"/>
      <c r="AB708" s="1314"/>
      <c r="AC708" s="1314"/>
      <c r="AD708" s="1314"/>
      <c r="AE708" s="1314"/>
      <c r="AF708" s="1314"/>
      <c r="AG708" s="1314"/>
      <c r="AH708" s="1314"/>
      <c r="AI708" s="1314"/>
      <c r="AJ708" s="1314"/>
      <c r="AK708" s="1314"/>
    </row>
    <row r="709" spans="1:110" ht="12.95" customHeight="1">
      <c r="B709" s="135"/>
      <c r="C709" s="135"/>
      <c r="D709" s="136"/>
      <c r="E709" s="135"/>
      <c r="F709" s="135"/>
      <c r="G709" s="135"/>
      <c r="H709" s="135"/>
    </row>
    <row r="710" spans="1:110" ht="12.95" customHeight="1">
      <c r="B710" s="135"/>
      <c r="C710" s="135"/>
      <c r="D710" s="136" t="s">
        <v>438</v>
      </c>
      <c r="E710" s="135"/>
      <c r="F710" s="135"/>
      <c r="G710" s="135"/>
      <c r="H710" s="135"/>
      <c r="AE710" s="1324" t="s">
        <v>669</v>
      </c>
      <c r="AF710" s="1324"/>
    </row>
    <row r="711" spans="1:110" ht="12.95" customHeight="1">
      <c r="B711" s="135"/>
      <c r="C711" s="135"/>
      <c r="D711" s="136" t="s">
        <v>442</v>
      </c>
      <c r="E711" s="135"/>
      <c r="F711" s="135"/>
      <c r="G711" s="135"/>
      <c r="H711" s="135"/>
      <c r="W711" s="1359" t="s">
        <v>591</v>
      </c>
      <c r="X711" s="1359"/>
      <c r="Y711" s="1359"/>
      <c r="Z711" s="1359"/>
      <c r="AA711" s="1359"/>
      <c r="AB711" s="1359"/>
      <c r="AC711" s="1359"/>
      <c r="AD711" s="1359"/>
      <c r="AE711" s="1359"/>
      <c r="AF711" s="1359"/>
      <c r="AG711" s="1359"/>
      <c r="AH711" s="1359"/>
      <c r="AI711" s="1359"/>
      <c r="AJ711" s="1359"/>
      <c r="AK711" s="1359"/>
    </row>
    <row r="712" spans="1:110" ht="12.95" customHeight="1">
      <c r="B712" s="135"/>
      <c r="C712" s="135"/>
      <c r="D712" s="136" t="s">
        <v>87</v>
      </c>
      <c r="E712" s="135"/>
      <c r="F712" s="135"/>
      <c r="G712" s="135"/>
      <c r="H712" s="135"/>
      <c r="J712" s="1359"/>
      <c r="K712" s="1359"/>
      <c r="L712" s="1359"/>
      <c r="M712" s="1359"/>
      <c r="N712" s="1359"/>
      <c r="O712" s="1359"/>
      <c r="P712" s="1359"/>
      <c r="Q712" s="1359"/>
      <c r="R712" s="1359"/>
      <c r="S712" s="1359"/>
      <c r="T712" s="1359"/>
      <c r="U712" s="1359"/>
      <c r="V712" s="1359"/>
      <c r="W712" s="1359"/>
      <c r="X712" s="1359"/>
      <c r="BB712" s="34"/>
      <c r="BC712" s="34"/>
      <c r="BD712" s="34"/>
      <c r="BE712" s="3"/>
      <c r="BF712" s="3"/>
      <c r="BJ712" s="3"/>
      <c r="BK712" s="3"/>
      <c r="BL712" s="3"/>
      <c r="BM712" s="3"/>
      <c r="BN712" s="34"/>
      <c r="BO712" s="34"/>
    </row>
    <row r="713" spans="1:110" ht="12.95" customHeight="1">
      <c r="B713" s="135"/>
      <c r="C713" s="135"/>
      <c r="D713" s="136" t="s">
        <v>88</v>
      </c>
      <c r="J713" s="1329"/>
      <c r="K713" s="1329"/>
      <c r="L713" s="1329"/>
      <c r="M713" s="1329"/>
      <c r="N713" s="1329"/>
      <c r="O713" s="1329"/>
      <c r="P713" s="4" t="s">
        <v>206</v>
      </c>
      <c r="Q713" s="4"/>
      <c r="R713" s="1416"/>
      <c r="S713" s="1416"/>
      <c r="T713" s="1416"/>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5" customHeight="1">
      <c r="B714" s="135"/>
      <c r="C714" s="135"/>
      <c r="D714" s="136" t="s">
        <v>443</v>
      </c>
      <c r="W714" s="1359" t="s">
        <v>307</v>
      </c>
      <c r="X714" s="1359"/>
      <c r="Y714" s="1359"/>
      <c r="Z714" s="1359"/>
      <c r="AA714" s="1359"/>
      <c r="AB714" s="1359"/>
      <c r="AC714" s="1359"/>
      <c r="AD714" s="1359"/>
      <c r="AE714" s="1359"/>
      <c r="AF714" s="1359"/>
      <c r="AG714" s="1359"/>
      <c r="AH714" s="1359"/>
      <c r="AI714" s="1359"/>
      <c r="AJ714" s="1359"/>
      <c r="AK714" s="1359"/>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5" customHeight="1">
      <c r="B715" s="135"/>
      <c r="C715" s="135"/>
      <c r="D715" s="136"/>
      <c r="E715" s="1359" t="s">
        <v>334</v>
      </c>
      <c r="F715" s="1359"/>
      <c r="G715" s="1359"/>
      <c r="H715" s="1359"/>
      <c r="I715" s="1359"/>
      <c r="J715" s="1359"/>
      <c r="K715" s="1359"/>
      <c r="L715" s="1359"/>
      <c r="M715" s="1359"/>
      <c r="N715" s="1359"/>
      <c r="O715" s="1359"/>
      <c r="P715" s="1359"/>
      <c r="Q715" s="1359"/>
      <c r="R715" s="1359"/>
      <c r="S715" s="1359"/>
      <c r="T715" s="1359"/>
      <c r="U715" s="1359"/>
      <c r="V715" s="1359"/>
      <c r="W715" s="1359"/>
      <c r="X715" s="1359"/>
      <c r="Y715" s="1359"/>
      <c r="Z715" s="1359"/>
      <c r="AA715" s="1359"/>
      <c r="AB715" s="1359"/>
      <c r="AC715" s="1359"/>
      <c r="AD715" s="1359"/>
      <c r="AE715" s="1359"/>
      <c r="AF715" s="1359"/>
      <c r="AG715" s="1359"/>
      <c r="AH715" s="1359"/>
      <c r="AI715" s="1359"/>
      <c r="AJ715" s="1359"/>
      <c r="AK715" s="1359"/>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5" customHeight="1">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5" customHeight="1">
      <c r="A717" s="1609" t="s">
        <v>95</v>
      </c>
      <c r="B717" s="1609"/>
      <c r="C717" s="1609"/>
      <c r="D717" s="1609"/>
      <c r="E717" s="1609"/>
      <c r="F717" s="1609"/>
      <c r="G717" s="1609"/>
      <c r="H717" s="1609"/>
      <c r="I717" s="1609"/>
      <c r="J717" s="1609"/>
      <c r="K717" s="1609"/>
      <c r="L717" s="1609"/>
      <c r="M717" s="1609"/>
      <c r="N717" s="1609"/>
      <c r="O717" s="1609"/>
      <c r="P717" s="1609"/>
      <c r="Q717" s="1609"/>
      <c r="R717" s="1609"/>
      <c r="S717" s="1609"/>
      <c r="T717" s="1609"/>
      <c r="U717" s="1609"/>
      <c r="V717" s="1609"/>
      <c r="W717" s="1609"/>
      <c r="X717" s="1609"/>
      <c r="Y717" s="1609"/>
      <c r="Z717" s="1609"/>
      <c r="AA717" s="1609"/>
      <c r="AB717" s="1609"/>
      <c r="AC717" s="1609"/>
      <c r="AD717" s="1609"/>
      <c r="AE717" s="1609"/>
      <c r="AF717" s="1609"/>
      <c r="AG717" s="1609"/>
      <c r="AH717" s="1609"/>
      <c r="AI717" s="1609"/>
      <c r="AJ717" s="1609"/>
      <c r="AK717" s="1609"/>
      <c r="AL717" s="1609"/>
      <c r="AM717" s="1609"/>
      <c r="AN717" s="1609"/>
      <c r="AO717" s="1609"/>
      <c r="AP717" s="1609"/>
      <c r="AQ717" s="1609"/>
      <c r="AR717" s="1609"/>
      <c r="AS717" s="1609"/>
      <c r="AT717" s="1609"/>
      <c r="AZ717" s="4" t="s">
        <v>324</v>
      </c>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5" customHeight="1">
      <c r="A718" s="1609"/>
      <c r="B718" s="1609"/>
      <c r="C718" s="1609"/>
      <c r="D718" s="1609"/>
      <c r="E718" s="1609"/>
      <c r="F718" s="1609"/>
      <c r="G718" s="1609"/>
      <c r="H718" s="1609"/>
      <c r="I718" s="1609"/>
      <c r="J718" s="1609"/>
      <c r="K718" s="1609"/>
      <c r="L718" s="1609"/>
      <c r="M718" s="1609"/>
      <c r="N718" s="1609"/>
      <c r="O718" s="1609"/>
      <c r="P718" s="1609"/>
      <c r="Q718" s="1609"/>
      <c r="R718" s="1609"/>
      <c r="S718" s="1609"/>
      <c r="T718" s="1609"/>
      <c r="U718" s="1609"/>
      <c r="V718" s="1609"/>
      <c r="W718" s="1609"/>
      <c r="X718" s="1609"/>
      <c r="Y718" s="1609"/>
      <c r="Z718" s="1609"/>
      <c r="AA718" s="1609"/>
      <c r="AB718" s="1609"/>
      <c r="AC718" s="1609"/>
      <c r="AD718" s="1609"/>
      <c r="AE718" s="1609"/>
      <c r="AF718" s="1609"/>
      <c r="AG718" s="1609"/>
      <c r="AH718" s="1609"/>
      <c r="AI718" s="1609"/>
      <c r="AJ718" s="1609"/>
      <c r="AK718" s="1609"/>
      <c r="AL718" s="1609"/>
      <c r="AM718" s="1609"/>
      <c r="AN718" s="1609"/>
      <c r="AO718" s="1609"/>
      <c r="AP718" s="1609"/>
      <c r="AQ718" s="1609"/>
      <c r="AR718" s="1609"/>
      <c r="AS718" s="1609"/>
      <c r="AT718" s="1609"/>
      <c r="AZ718" s="4" t="s">
        <v>325</v>
      </c>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5" customHeight="1">
      <c r="A719" s="1609"/>
      <c r="B719" s="1609"/>
      <c r="C719" s="1609"/>
      <c r="D719" s="1609"/>
      <c r="E719" s="1609"/>
      <c r="F719" s="1609"/>
      <c r="G719" s="1609"/>
      <c r="H719" s="1609"/>
      <c r="I719" s="1609"/>
      <c r="J719" s="1609"/>
      <c r="K719" s="1609"/>
      <c r="L719" s="1609"/>
      <c r="M719" s="1609"/>
      <c r="N719" s="1609"/>
      <c r="O719" s="1609"/>
      <c r="P719" s="1609"/>
      <c r="Q719" s="1609"/>
      <c r="R719" s="1609"/>
      <c r="S719" s="1609"/>
      <c r="T719" s="1609"/>
      <c r="U719" s="1609"/>
      <c r="V719" s="1609"/>
      <c r="W719" s="1609"/>
      <c r="X719" s="1609"/>
      <c r="Y719" s="1609"/>
      <c r="Z719" s="1609"/>
      <c r="AA719" s="1609"/>
      <c r="AB719" s="1609"/>
      <c r="AC719" s="1609"/>
      <c r="AD719" s="1609"/>
      <c r="AE719" s="1609"/>
      <c r="AF719" s="1609"/>
      <c r="AG719" s="1609"/>
      <c r="AH719" s="1609"/>
      <c r="AI719" s="1609"/>
      <c r="AJ719" s="1609"/>
      <c r="AK719" s="1609"/>
      <c r="AL719" s="1609"/>
      <c r="AM719" s="1609"/>
      <c r="AN719" s="1609"/>
      <c r="AO719" s="1609"/>
      <c r="AP719" s="1609"/>
      <c r="AQ719" s="1609"/>
      <c r="AR719" s="1609"/>
      <c r="AS719" s="1609"/>
      <c r="AT719" s="1609"/>
      <c r="AZ719" s="4" t="s">
        <v>163</v>
      </c>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5" customHeight="1">
      <c r="A720" s="2" t="s">
        <v>319</v>
      </c>
      <c r="B720" s="2"/>
      <c r="C720" s="2" t="s">
        <v>19</v>
      </c>
      <c r="AZ720" s="4" t="s">
        <v>164</v>
      </c>
      <c r="BA720" s="3"/>
      <c r="BB720" s="3"/>
      <c r="BC720" s="3"/>
      <c r="BD720" s="3"/>
      <c r="BE720" s="3"/>
      <c r="BF720" s="3"/>
      <c r="BJ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85" ht="12.95" customHeight="1">
      <c r="A721" s="2"/>
      <c r="B721" s="512"/>
      <c r="C721" s="2"/>
      <c r="AZ721" s="4" t="s">
        <v>165</v>
      </c>
      <c r="BA721" s="3"/>
      <c r="BB721" s="3"/>
      <c r="BC721" s="3"/>
      <c r="BD721" s="3"/>
      <c r="BE721" s="3"/>
      <c r="BF721" s="3"/>
      <c r="BJ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85" ht="12.95" customHeight="1">
      <c r="B722" s="1524" t="s">
        <v>389</v>
      </c>
      <c r="C722" s="1316"/>
      <c r="D722" s="1316"/>
      <c r="E722" s="1316"/>
      <c r="F722" s="1317"/>
      <c r="G722" s="1524" t="s">
        <v>285</v>
      </c>
      <c r="H722" s="1316"/>
      <c r="I722" s="1316"/>
      <c r="J722" s="1317"/>
      <c r="K722" s="1532" t="s">
        <v>1668</v>
      </c>
      <c r="L722" s="1533"/>
      <c r="M722" s="1533"/>
      <c r="N722" s="1534"/>
      <c r="O722" s="1524" t="s">
        <v>447</v>
      </c>
      <c r="P722" s="1316"/>
      <c r="Q722" s="1316"/>
      <c r="R722" s="1316"/>
      <c r="S722" s="1317"/>
      <c r="T722" s="1315" t="s">
        <v>1922</v>
      </c>
      <c r="U722" s="1316"/>
      <c r="V722" s="1316"/>
      <c r="W722" s="1317"/>
      <c r="X722" s="1315" t="s">
        <v>1924</v>
      </c>
      <c r="Y722" s="1316"/>
      <c r="Z722" s="1316"/>
      <c r="AA722" s="1316"/>
      <c r="AB722" s="1317"/>
      <c r="AC722" s="1315" t="s">
        <v>1923</v>
      </c>
      <c r="AD722" s="1316"/>
      <c r="AE722" s="1316"/>
      <c r="AF722" s="1316"/>
      <c r="AG722" s="1317"/>
      <c r="AH722" s="1315" t="s">
        <v>1925</v>
      </c>
      <c r="AI722" s="1316"/>
      <c r="AJ722" s="1317"/>
      <c r="AK722" s="1315" t="s">
        <v>1952</v>
      </c>
      <c r="AL722" s="1316"/>
      <c r="AM722" s="1316"/>
      <c r="AN722" s="1316"/>
      <c r="AO722" s="1317"/>
      <c r="AP722" s="3"/>
      <c r="AQ722" s="3"/>
      <c r="AR722" s="3"/>
      <c r="AS722" s="3"/>
      <c r="AZ722" s="4" t="s">
        <v>30</v>
      </c>
      <c r="BA722" s="3"/>
      <c r="BB722" s="3"/>
      <c r="BC722" s="3"/>
      <c r="BD722" s="3"/>
      <c r="BE722" s="3"/>
      <c r="BF722" s="3"/>
      <c r="BJ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85" ht="12.95" customHeight="1">
      <c r="B723" s="1318"/>
      <c r="C723" s="1319"/>
      <c r="D723" s="1319"/>
      <c r="E723" s="1319"/>
      <c r="F723" s="1320"/>
      <c r="G723" s="1318"/>
      <c r="H723" s="1319"/>
      <c r="I723" s="1319"/>
      <c r="J723" s="1320"/>
      <c r="K723" s="1535"/>
      <c r="L723" s="1536"/>
      <c r="M723" s="1536"/>
      <c r="N723" s="1537"/>
      <c r="O723" s="1318"/>
      <c r="P723" s="1319"/>
      <c r="Q723" s="1319"/>
      <c r="R723" s="1319"/>
      <c r="S723" s="1320"/>
      <c r="T723" s="1318"/>
      <c r="U723" s="1319"/>
      <c r="V723" s="1319"/>
      <c r="W723" s="1320"/>
      <c r="X723" s="1318"/>
      <c r="Y723" s="1319"/>
      <c r="Z723" s="1319"/>
      <c r="AA723" s="1319"/>
      <c r="AB723" s="1320"/>
      <c r="AC723" s="1318"/>
      <c r="AD723" s="1319"/>
      <c r="AE723" s="1319"/>
      <c r="AF723" s="1319"/>
      <c r="AG723" s="1320"/>
      <c r="AH723" s="1318"/>
      <c r="AI723" s="1319"/>
      <c r="AJ723" s="1320"/>
      <c r="AK723" s="1318"/>
      <c r="AL723" s="1319"/>
      <c r="AM723" s="1319"/>
      <c r="AN723" s="1319"/>
      <c r="AO723" s="1320"/>
      <c r="AP723" s="3"/>
      <c r="AQ723" s="3"/>
      <c r="AR723" s="3"/>
      <c r="AS723" s="3"/>
      <c r="AZ723" s="3"/>
      <c r="BA723" s="3"/>
      <c r="BB723" s="3"/>
      <c r="BC723" s="3"/>
      <c r="BD723" s="3"/>
      <c r="BE723" s="3"/>
      <c r="BF723" s="3"/>
      <c r="BJ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85" ht="12.95" customHeight="1">
      <c r="A724" s="4"/>
      <c r="B724" s="1318"/>
      <c r="C724" s="1319"/>
      <c r="D724" s="1319"/>
      <c r="E724" s="1319"/>
      <c r="F724" s="1320"/>
      <c r="G724" s="1318"/>
      <c r="H724" s="1319"/>
      <c r="I724" s="1319"/>
      <c r="J724" s="1320"/>
      <c r="K724" s="1535"/>
      <c r="L724" s="1536"/>
      <c r="M724" s="1536"/>
      <c r="N724" s="1537"/>
      <c r="O724" s="1318"/>
      <c r="P724" s="1319"/>
      <c r="Q724" s="1319"/>
      <c r="R724" s="1319"/>
      <c r="S724" s="1320"/>
      <c r="T724" s="1318"/>
      <c r="U724" s="1319"/>
      <c r="V724" s="1319"/>
      <c r="W724" s="1320"/>
      <c r="X724" s="1318"/>
      <c r="Y724" s="1319"/>
      <c r="Z724" s="1319"/>
      <c r="AA724" s="1319"/>
      <c r="AB724" s="1320"/>
      <c r="AC724" s="1318"/>
      <c r="AD724" s="1319"/>
      <c r="AE724" s="1319"/>
      <c r="AF724" s="1319"/>
      <c r="AG724" s="1320"/>
      <c r="AH724" s="1318"/>
      <c r="AI724" s="1319"/>
      <c r="AJ724" s="1320"/>
      <c r="AK724" s="1318"/>
      <c r="AL724" s="1319"/>
      <c r="AM724" s="1319"/>
      <c r="AN724" s="1319"/>
      <c r="AO724" s="1320"/>
      <c r="AP724" s="3"/>
      <c r="AQ724" s="3"/>
      <c r="AR724" s="3"/>
      <c r="AS724" s="3"/>
      <c r="BA724" s="3"/>
      <c r="BB724" s="3"/>
      <c r="BC724" s="3"/>
      <c r="BD724" s="3"/>
      <c r="BE724" s="204"/>
      <c r="BF724" s="205" t="s">
        <v>895</v>
      </c>
      <c r="BG724" s="204"/>
      <c r="BH724" s="204"/>
      <c r="BI724" s="3"/>
      <c r="BJ724" s="3"/>
      <c r="BK724" s="3"/>
      <c r="BL724" s="3"/>
      <c r="BM724" s="3"/>
      <c r="BN724" s="3"/>
      <c r="BS724" s="205" t="s">
        <v>1617</v>
      </c>
      <c r="BT724" s="204"/>
      <c r="BU724" s="204"/>
      <c r="CC724" s="3"/>
      <c r="CD724" s="3"/>
      <c r="CE724" s="3"/>
      <c r="CF724" s="3"/>
      <c r="CG724" s="3"/>
      <c r="CH724" s="3"/>
      <c r="CI724" s="3"/>
      <c r="CJ724" s="3"/>
      <c r="CK724" s="3"/>
      <c r="CL724" s="3"/>
      <c r="CM724" s="3"/>
      <c r="CN724" s="3"/>
      <c r="CO724" s="3"/>
      <c r="CP724" s="3" t="s">
        <v>102</v>
      </c>
      <c r="CQ724" s="3"/>
      <c r="CR724" s="3"/>
      <c r="CS724" s="3"/>
      <c r="CT724" s="3"/>
      <c r="CU724" s="3"/>
      <c r="CV724" s="3"/>
      <c r="CW724" s="3"/>
      <c r="CX724" s="3"/>
      <c r="CY724" s="3"/>
      <c r="CZ724" s="3"/>
      <c r="DA724" s="3"/>
      <c r="DB724" s="3"/>
      <c r="DC724" s="3"/>
      <c r="DD724" s="3"/>
      <c r="DE724" s="3"/>
      <c r="DF724" s="3"/>
      <c r="DG724" s="3"/>
      <c r="DH724" s="3"/>
      <c r="DI724" s="3"/>
      <c r="DJ724" s="3"/>
      <c r="DK724" s="3"/>
      <c r="DL724" s="3"/>
      <c r="DM724" s="3"/>
      <c r="DN724" s="3"/>
      <c r="DO724" s="3"/>
      <c r="DP724" s="3"/>
      <c r="DQ724" s="3"/>
      <c r="DR724" s="3"/>
      <c r="DS724" s="3"/>
      <c r="DT724" s="3"/>
      <c r="DU724" s="3" t="s">
        <v>360</v>
      </c>
      <c r="DV724" s="3"/>
      <c r="DW724" s="3"/>
      <c r="DX724" s="3"/>
      <c r="DY724" s="3"/>
      <c r="DZ724" s="3"/>
      <c r="EA724" s="3"/>
      <c r="EB724" s="3"/>
      <c r="EC724" s="3"/>
      <c r="ED724" s="3"/>
      <c r="EE724" s="3"/>
      <c r="EF724" s="3"/>
      <c r="EG724" s="3"/>
      <c r="EH724" s="3"/>
      <c r="EI724" s="3"/>
      <c r="EJ724" s="3"/>
      <c r="EK724" s="3"/>
      <c r="EL724" s="3"/>
      <c r="EM724" s="3"/>
      <c r="EN724" s="3"/>
      <c r="EO724" s="3"/>
      <c r="EP724" s="3"/>
      <c r="EQ724" s="3"/>
      <c r="ER724" s="3"/>
      <c r="ES724" s="3"/>
      <c r="ET724" s="3"/>
      <c r="EU724" s="3"/>
      <c r="EV724" s="3"/>
      <c r="EW724" s="3"/>
      <c r="EX724" s="3"/>
      <c r="EY724" s="4"/>
      <c r="EZ724" s="3" t="s">
        <v>1819</v>
      </c>
      <c r="FA724" s="3"/>
      <c r="FB724" s="3"/>
      <c r="FC724" s="3"/>
      <c r="FD724" s="3"/>
      <c r="FE724" s="3"/>
      <c r="FF724" s="3"/>
      <c r="FG724" s="3"/>
      <c r="FH724" s="3"/>
      <c r="FI724" s="3"/>
      <c r="FJ724" s="3"/>
      <c r="FK724" s="3"/>
      <c r="FL724" s="3"/>
      <c r="FM724" s="3"/>
      <c r="FN724" s="3"/>
      <c r="FO724" s="3"/>
      <c r="FP724" s="3"/>
      <c r="FQ724" s="3"/>
      <c r="FR724" s="3"/>
      <c r="FS724" s="3"/>
      <c r="FT724" s="3"/>
      <c r="FU724" s="3"/>
      <c r="FV724" s="3"/>
      <c r="FW724" s="3"/>
      <c r="FX724" s="3"/>
      <c r="FY724" s="3"/>
      <c r="FZ724" s="3"/>
      <c r="GA724" s="3"/>
      <c r="GB724" s="3"/>
      <c r="GC724" s="3"/>
    </row>
    <row r="725" spans="1:185" ht="12.95" customHeight="1">
      <c r="A725" s="4"/>
      <c r="B725" s="1321"/>
      <c r="C725" s="1322"/>
      <c r="D725" s="1322"/>
      <c r="E725" s="1322"/>
      <c r="F725" s="1323"/>
      <c r="G725" s="1321"/>
      <c r="H725" s="1322"/>
      <c r="I725" s="1322"/>
      <c r="J725" s="1323"/>
      <c r="K725" s="1535"/>
      <c r="L725" s="1536"/>
      <c r="M725" s="1536"/>
      <c r="N725" s="1537"/>
      <c r="O725" s="1321"/>
      <c r="P725" s="1322"/>
      <c r="Q725" s="1322"/>
      <c r="R725" s="1322"/>
      <c r="S725" s="1323"/>
      <c r="T725" s="1321"/>
      <c r="U725" s="1322"/>
      <c r="V725" s="1322"/>
      <c r="W725" s="1323"/>
      <c r="X725" s="1321"/>
      <c r="Y725" s="1322"/>
      <c r="Z725" s="1322"/>
      <c r="AA725" s="1322"/>
      <c r="AB725" s="1323"/>
      <c r="AC725" s="1321"/>
      <c r="AD725" s="1322"/>
      <c r="AE725" s="1322"/>
      <c r="AF725" s="1322"/>
      <c r="AG725" s="1323"/>
      <c r="AH725" s="1321"/>
      <c r="AI725" s="1322"/>
      <c r="AJ725" s="1323"/>
      <c r="AK725" s="1321"/>
      <c r="AL725" s="1322"/>
      <c r="AM725" s="1322"/>
      <c r="AN725" s="1322"/>
      <c r="AO725" s="1323"/>
      <c r="AP725" s="3"/>
      <c r="AQ725" s="3"/>
      <c r="AR725" s="3"/>
      <c r="AS725" s="3"/>
      <c r="AZ725" s="166" t="s">
        <v>649</v>
      </c>
      <c r="BA725" s="3"/>
      <c r="BB725" s="3"/>
      <c r="BC725" s="3"/>
      <c r="BD725" s="3"/>
      <c r="BE725" s="204"/>
      <c r="BF725" s="291" t="s">
        <v>896</v>
      </c>
      <c r="BG725" s="296" t="s">
        <v>897</v>
      </c>
      <c r="BH725" s="295" t="s">
        <v>898</v>
      </c>
      <c r="BI725" s="3"/>
      <c r="BJ725" s="3"/>
      <c r="BK725" s="3"/>
      <c r="BL725" s="3"/>
      <c r="BM725" s="3"/>
      <c r="BN725" s="3"/>
      <c r="BS725" s="291" t="s">
        <v>896</v>
      </c>
      <c r="BT725" s="296" t="s">
        <v>897</v>
      </c>
      <c r="BU725" s="295" t="s">
        <v>898</v>
      </c>
      <c r="CC725" s="3"/>
      <c r="CD725" s="3"/>
      <c r="CE725" s="3"/>
      <c r="CF725" s="3"/>
      <c r="CG725" s="121" t="s">
        <v>474</v>
      </c>
      <c r="CH725" s="122"/>
      <c r="CI725" s="1269"/>
      <c r="CJ725" s="1271"/>
      <c r="CK725" s="121" t="s">
        <v>475</v>
      </c>
      <c r="CL725" s="122"/>
      <c r="CM725" s="1269"/>
      <c r="CN725" s="1271"/>
      <c r="CO725" s="3"/>
      <c r="CP725" s="1610" t="s">
        <v>633</v>
      </c>
      <c r="CQ725" s="1611"/>
      <c r="CR725" s="1611"/>
      <c r="CS725" s="1611"/>
      <c r="CT725" s="1612"/>
      <c r="CU725" s="1424" t="s">
        <v>325</v>
      </c>
      <c r="CV725" s="1424"/>
      <c r="CW725" s="1424"/>
      <c r="CX725" s="1424"/>
      <c r="CY725" s="1424"/>
      <c r="CZ725" s="1424" t="s">
        <v>163</v>
      </c>
      <c r="DA725" s="1424"/>
      <c r="DB725" s="1424"/>
      <c r="DC725" s="1424"/>
      <c r="DD725" s="1424"/>
      <c r="DE725" s="1424" t="s">
        <v>164</v>
      </c>
      <c r="DF725" s="1424"/>
      <c r="DG725" s="1424"/>
      <c r="DH725" s="1424"/>
      <c r="DI725" s="1424"/>
      <c r="DJ725" s="1424" t="s">
        <v>460</v>
      </c>
      <c r="DK725" s="1424"/>
      <c r="DL725" s="1424"/>
      <c r="DM725" s="1424"/>
      <c r="DN725" s="1424"/>
      <c r="DO725" s="1424" t="s">
        <v>30</v>
      </c>
      <c r="DP725" s="1424"/>
      <c r="DQ725" s="1424"/>
      <c r="DR725" s="1424"/>
      <c r="DS725" s="1424"/>
      <c r="DT725" s="89"/>
      <c r="DU725" s="1424" t="s">
        <v>633</v>
      </c>
      <c r="DV725" s="1424"/>
      <c r="DW725" s="1424"/>
      <c r="DX725" s="1424"/>
      <c r="DY725" s="1424"/>
      <c r="DZ725" s="1424" t="s">
        <v>325</v>
      </c>
      <c r="EA725" s="1424"/>
      <c r="EB725" s="1424"/>
      <c r="EC725" s="1424"/>
      <c r="ED725" s="1424"/>
      <c r="EE725" s="1424" t="s">
        <v>163</v>
      </c>
      <c r="EF725" s="1424"/>
      <c r="EG725" s="1424"/>
      <c r="EH725" s="1424"/>
      <c r="EI725" s="1424"/>
      <c r="EJ725" s="1424" t="s">
        <v>164</v>
      </c>
      <c r="EK725" s="1424"/>
      <c r="EL725" s="1424"/>
      <c r="EM725" s="1424"/>
      <c r="EN725" s="1424"/>
      <c r="EO725" s="1424" t="s">
        <v>460</v>
      </c>
      <c r="EP725" s="1424"/>
      <c r="EQ725" s="1424"/>
      <c r="ER725" s="1424"/>
      <c r="ES725" s="1424"/>
      <c r="ET725" s="1424" t="s">
        <v>30</v>
      </c>
      <c r="EU725" s="1424"/>
      <c r="EV725" s="1424"/>
      <c r="EW725" s="1424"/>
      <c r="EX725" s="1424"/>
      <c r="EY725" s="4"/>
      <c r="EZ725" s="1424" t="s">
        <v>633</v>
      </c>
      <c r="FA725" s="1424"/>
      <c r="FB725" s="1424"/>
      <c r="FC725" s="1424"/>
      <c r="FD725" s="1424"/>
      <c r="FE725" s="1424" t="s">
        <v>325</v>
      </c>
      <c r="FF725" s="1424"/>
      <c r="FG725" s="1424"/>
      <c r="FH725" s="1424"/>
      <c r="FI725" s="1424"/>
      <c r="FJ725" s="1424" t="s">
        <v>163</v>
      </c>
      <c r="FK725" s="1424"/>
      <c r="FL725" s="1424"/>
      <c r="FM725" s="1424"/>
      <c r="FN725" s="1424"/>
      <c r="FO725" s="1424" t="s">
        <v>164</v>
      </c>
      <c r="FP725" s="1424"/>
      <c r="FQ725" s="1424"/>
      <c r="FR725" s="1424"/>
      <c r="FS725" s="1424"/>
      <c r="FT725" s="1424" t="s">
        <v>460</v>
      </c>
      <c r="FU725" s="1424"/>
      <c r="FV725" s="1424"/>
      <c r="FW725" s="1424"/>
      <c r="FX725" s="1424"/>
      <c r="FY725" s="1424" t="s">
        <v>30</v>
      </c>
      <c r="FZ725" s="1424"/>
      <c r="GA725" s="1424"/>
      <c r="GB725" s="1424"/>
      <c r="GC725" s="1424"/>
    </row>
    <row r="726" spans="1:185" ht="12.95" customHeight="1">
      <c r="A726" s="4"/>
      <c r="B726" s="1290" t="s">
        <v>324</v>
      </c>
      <c r="C726" s="1291"/>
      <c r="D726" s="1291"/>
      <c r="E726" s="1291"/>
      <c r="F726" s="1292"/>
      <c r="G726" s="1518">
        <v>1</v>
      </c>
      <c r="H726" s="1519"/>
      <c r="I726" s="1519"/>
      <c r="J726" s="1520"/>
      <c r="K726" s="1525">
        <v>465</v>
      </c>
      <c r="L726" s="1526"/>
      <c r="M726" s="1526"/>
      <c r="N726" s="1527"/>
      <c r="O726" s="1296">
        <f>839-13</f>
        <v>826</v>
      </c>
      <c r="P726" s="1297"/>
      <c r="Q726" s="1297"/>
      <c r="R726" s="1297"/>
      <c r="S726" s="1298"/>
      <c r="T726" s="1296">
        <v>13</v>
      </c>
      <c r="U726" s="1297"/>
      <c r="V726" s="1297"/>
      <c r="W726" s="1298"/>
      <c r="X726" s="1299">
        <f t="shared" ref="X726:X749" si="10">O726+T726</f>
        <v>839</v>
      </c>
      <c r="Y726" s="1300"/>
      <c r="Z726" s="1300"/>
      <c r="AA726" s="1300"/>
      <c r="AB726" s="1301"/>
      <c r="AC726" s="1293">
        <v>0.3</v>
      </c>
      <c r="AD726" s="1294"/>
      <c r="AE726" s="1294"/>
      <c r="AF726" s="1294"/>
      <c r="AG726" s="1295"/>
      <c r="AH726" s="1302">
        <f>IF($AC726&gt;0,($X726/$AZ726), "")</f>
        <v>0.30007153075822601</v>
      </c>
      <c r="AI726" s="1303"/>
      <c r="AJ726" s="1304"/>
      <c r="AK726" s="1290" t="s">
        <v>591</v>
      </c>
      <c r="AL726" s="1291"/>
      <c r="AM726" s="1291"/>
      <c r="AN726" s="1291"/>
      <c r="AO726" s="1292"/>
      <c r="AP726" s="3"/>
      <c r="AQ726" s="3"/>
      <c r="AR726" s="3"/>
      <c r="AS726" s="3"/>
      <c r="AZ726" s="118">
        <f t="shared" ref="AZ726:AZ760" si="11">IF($G726=0,"N/A",VLOOKUP($T$189,TC_Rent,(MATCH($B726,bedrooms,FALSE)),FALSE))</f>
        <v>2796</v>
      </c>
      <c r="BA726" s="3"/>
      <c r="BB726" s="3"/>
      <c r="BC726" s="3"/>
      <c r="BD726" s="3"/>
      <c r="BE726" s="204"/>
      <c r="BF726" s="293">
        <f t="shared" ref="BF726:BF760" si="12">G726</f>
        <v>1</v>
      </c>
      <c r="BG726" s="297">
        <f t="shared" ref="BG726:BG760" si="13">IF($BF$761=0,0,BF726/$BF$761)</f>
        <v>2.0833333333333332E-2</v>
      </c>
      <c r="BH726" s="298">
        <f t="shared" ref="BH726:BH760" si="14">IF(BG726=0,"",BG726*AC726)</f>
        <v>6.2499999999999995E-3</v>
      </c>
      <c r="BI726" s="3"/>
      <c r="BJ726" s="3"/>
      <c r="BK726" s="3"/>
      <c r="BL726" s="3"/>
      <c r="BM726" s="3"/>
      <c r="BN726" s="3"/>
      <c r="BS726" s="293">
        <f t="shared" ref="BS726:BS760" si="15">G726</f>
        <v>1</v>
      </c>
      <c r="BT726" s="297">
        <f t="shared" ref="BT726:BT760" si="16">IF($BS$761=0,0,BS726/$BS$761)</f>
        <v>2.0833333333333332E-2</v>
      </c>
      <c r="BU726" s="298">
        <f t="shared" ref="BU726:BU760" si="17">IF(BT726=0,"",BT726*AH726)</f>
        <v>6.251490224129708E-3</v>
      </c>
      <c r="CC726" s="3"/>
      <c r="CD726" s="3"/>
      <c r="CE726" s="3"/>
      <c r="CF726" s="3"/>
      <c r="CG726" s="1285">
        <f>IF(AND(AC726&lt;=0.5,AC726&gt;=0.36),1,0)</f>
        <v>0</v>
      </c>
      <c r="CH726" s="1287"/>
      <c r="CI726" s="1269">
        <f>IF(CG726=1,G726,0)</f>
        <v>0</v>
      </c>
      <c r="CJ726" s="1271"/>
      <c r="CK726" s="1285">
        <f t="shared" ref="CK726:CK760" si="18">IF(AND(AC726&lt;=0.35,AC726&gt;0),1,0)</f>
        <v>1</v>
      </c>
      <c r="CL726" s="1287"/>
      <c r="CM726" s="1269">
        <f t="shared" ref="CM726:CM760" si="19">IF(CK726=1,G726,0)</f>
        <v>1</v>
      </c>
      <c r="CN726" s="1271"/>
      <c r="CO726" s="3"/>
      <c r="CP726" s="1266">
        <f t="shared" ref="CP726:CP760" si="20">IF(B726="SRO/Studio",G726,0)</f>
        <v>1</v>
      </c>
      <c r="CQ726" s="1267"/>
      <c r="CR726" s="1267"/>
      <c r="CS726" s="1267"/>
      <c r="CT726" s="1268"/>
      <c r="CU726" s="1288">
        <f t="shared" ref="CU726:CU760" si="21">IF(B726="1 Bedroom",G726,0)</f>
        <v>0</v>
      </c>
      <c r="CV726" s="1288"/>
      <c r="CW726" s="1288"/>
      <c r="CX726" s="1288"/>
      <c r="CY726" s="1288"/>
      <c r="CZ726" s="1288">
        <f t="shared" ref="CZ726:CZ760" si="22">IF(B726="2 Bedrooms",G726,0)</f>
        <v>0</v>
      </c>
      <c r="DA726" s="1288"/>
      <c r="DB726" s="1288"/>
      <c r="DC726" s="1288"/>
      <c r="DD726" s="1288"/>
      <c r="DE726" s="1288">
        <f t="shared" ref="DE726:DE760" si="23">IF(B726="3 Bedrooms",G726,0)</f>
        <v>0</v>
      </c>
      <c r="DF726" s="1288"/>
      <c r="DG726" s="1288"/>
      <c r="DH726" s="1288"/>
      <c r="DI726" s="1288"/>
      <c r="DJ726" s="1288">
        <f t="shared" ref="DJ726:DJ760" si="24">IF(B726="4 Bedrooms",G726,0)</f>
        <v>0</v>
      </c>
      <c r="DK726" s="1288"/>
      <c r="DL726" s="1288"/>
      <c r="DM726" s="1288"/>
      <c r="DN726" s="1288"/>
      <c r="DO726" s="1288">
        <f t="shared" ref="DO726:DO760" si="25">IF(B726="5 Bedrooms",G726,0)</f>
        <v>0</v>
      </c>
      <c r="DP726" s="1288"/>
      <c r="DQ726" s="1288"/>
      <c r="DR726" s="1288"/>
      <c r="DS726" s="1288"/>
      <c r="DT726" s="6"/>
      <c r="DU726" s="1306">
        <f t="shared" ref="DU726:DU760" si="26">IF(AND(B726="SRO/Studio",AC726&lt;=0.3),G726,0)</f>
        <v>1</v>
      </c>
      <c r="DV726" s="1306"/>
      <c r="DW726" s="1306"/>
      <c r="DX726" s="1306"/>
      <c r="DY726" s="1306"/>
      <c r="DZ726" s="1306">
        <f t="shared" ref="DZ726:DZ760" si="27">IF(AND(B726="1 Bedroom",AC726&lt;=0.3),G726,0)</f>
        <v>0</v>
      </c>
      <c r="EA726" s="1306"/>
      <c r="EB726" s="1306"/>
      <c r="EC726" s="1306"/>
      <c r="ED726" s="1306"/>
      <c r="EE726" s="1306">
        <f t="shared" ref="EE726:EE760" si="28">IF(AND(B726="2 Bedrooms",AC726&lt;=0.3),G726,0)</f>
        <v>0</v>
      </c>
      <c r="EF726" s="1306"/>
      <c r="EG726" s="1306"/>
      <c r="EH726" s="1306"/>
      <c r="EI726" s="1306"/>
      <c r="EJ726" s="1306">
        <f t="shared" ref="EJ726:EJ760" si="29">IF(AND(B726="3 Bedrooms",AC726&lt;=0.3),G726,0)</f>
        <v>0</v>
      </c>
      <c r="EK726" s="1306"/>
      <c r="EL726" s="1306"/>
      <c r="EM726" s="1306"/>
      <c r="EN726" s="1306"/>
      <c r="EO726" s="1306">
        <f t="shared" ref="EO726:EO760" si="30">IF(AND(B726="4 Bedrooms",AC726&lt;=0.3),G726,0)</f>
        <v>0</v>
      </c>
      <c r="EP726" s="1306"/>
      <c r="EQ726" s="1306"/>
      <c r="ER726" s="1306"/>
      <c r="ES726" s="1306"/>
      <c r="ET726" s="1306">
        <f t="shared" ref="ET726:ET760" si="31">IF(AND(B726="5 Bedrooms",AC726&lt;=0.3),G726,0)</f>
        <v>0</v>
      </c>
      <c r="EU726" s="1306"/>
      <c r="EV726" s="1306"/>
      <c r="EW726" s="1306"/>
      <c r="EX726" s="1306"/>
      <c r="EY726" s="4"/>
      <c r="EZ726" s="1285">
        <f t="shared" ref="EZ726:EZ760" si="32">IF(CP726&gt;0,O726,"")</f>
        <v>826</v>
      </c>
      <c r="FA726" s="1286"/>
      <c r="FB726" s="1286"/>
      <c r="FC726" s="1286"/>
      <c r="FD726" s="1287"/>
      <c r="FE726" s="1285" t="str">
        <f t="shared" ref="FE726:FE760" si="33">IF(CU726&gt;0,O726,"")</f>
        <v/>
      </c>
      <c r="FF726" s="1286"/>
      <c r="FG726" s="1286"/>
      <c r="FH726" s="1286"/>
      <c r="FI726" s="1287"/>
      <c r="FJ726" s="1285" t="str">
        <f t="shared" ref="FJ726:FJ760" si="34">IF(CZ726&gt;0,O726,"")</f>
        <v/>
      </c>
      <c r="FK726" s="1286"/>
      <c r="FL726" s="1286"/>
      <c r="FM726" s="1286"/>
      <c r="FN726" s="1287"/>
      <c r="FO726" s="1285" t="str">
        <f t="shared" ref="FO726:FO760" si="35">IF(DE726&gt;0,O726,"")</f>
        <v/>
      </c>
      <c r="FP726" s="1286"/>
      <c r="FQ726" s="1286"/>
      <c r="FR726" s="1286"/>
      <c r="FS726" s="1287"/>
      <c r="FT726" s="1285" t="str">
        <f t="shared" ref="FT726:FT760" si="36">IF(DJ726&gt;0,O726,"")</f>
        <v/>
      </c>
      <c r="FU726" s="1286"/>
      <c r="FV726" s="1286"/>
      <c r="FW726" s="1286"/>
      <c r="FX726" s="1287"/>
      <c r="FY726" s="1285" t="str">
        <f t="shared" ref="FY726:FY760" si="37">IF(DO726&gt;0,O726,"")</f>
        <v/>
      </c>
      <c r="FZ726" s="1286"/>
      <c r="GA726" s="1286"/>
      <c r="GB726" s="1286"/>
      <c r="GC726" s="1287"/>
    </row>
    <row r="727" spans="1:185" ht="12.95" customHeight="1">
      <c r="A727" s="4"/>
      <c r="B727" s="1290" t="s">
        <v>325</v>
      </c>
      <c r="C727" s="1291"/>
      <c r="D727" s="1291"/>
      <c r="E727" s="1291"/>
      <c r="F727" s="1292"/>
      <c r="G727" s="1518">
        <v>5</v>
      </c>
      <c r="H727" s="1519"/>
      <c r="I727" s="1519"/>
      <c r="J727" s="1520"/>
      <c r="K727" s="1525">
        <v>604</v>
      </c>
      <c r="L727" s="1526"/>
      <c r="M727" s="1526"/>
      <c r="N727" s="1527"/>
      <c r="O727" s="1296">
        <f>899-13</f>
        <v>886</v>
      </c>
      <c r="P727" s="1297"/>
      <c r="Q727" s="1297"/>
      <c r="R727" s="1297"/>
      <c r="S727" s="1298"/>
      <c r="T727" s="1296">
        <v>13</v>
      </c>
      <c r="U727" s="1297"/>
      <c r="V727" s="1297"/>
      <c r="W727" s="1298"/>
      <c r="X727" s="1299">
        <f t="shared" si="10"/>
        <v>899</v>
      </c>
      <c r="Y727" s="1300"/>
      <c r="Z727" s="1300"/>
      <c r="AA727" s="1300"/>
      <c r="AB727" s="1301"/>
      <c r="AC727" s="1293">
        <v>0.3</v>
      </c>
      <c r="AD727" s="1294"/>
      <c r="AE727" s="1294"/>
      <c r="AF727" s="1294"/>
      <c r="AG727" s="1295"/>
      <c r="AH727" s="1302">
        <f t="shared" ref="AH727:AH760" si="38">IF($AC727&gt;0,($X727/$AZ727), "")</f>
        <v>0.3000667556742323</v>
      </c>
      <c r="AI727" s="1303"/>
      <c r="AJ727" s="1304"/>
      <c r="AK727" s="1290" t="s">
        <v>591</v>
      </c>
      <c r="AL727" s="1291"/>
      <c r="AM727" s="1291"/>
      <c r="AN727" s="1291"/>
      <c r="AO727" s="1292"/>
      <c r="AP727" s="3"/>
      <c r="AQ727" s="3"/>
      <c r="AR727" s="3"/>
      <c r="AS727" s="3"/>
      <c r="AZ727" s="118">
        <f t="shared" si="11"/>
        <v>2996</v>
      </c>
      <c r="BA727" s="3"/>
      <c r="BB727" s="3"/>
      <c r="BC727" s="3"/>
      <c r="BD727" s="3"/>
      <c r="BE727" s="204"/>
      <c r="BF727" s="294">
        <f t="shared" si="12"/>
        <v>5</v>
      </c>
      <c r="BG727" s="297">
        <f t="shared" si="13"/>
        <v>0.10416666666666667</v>
      </c>
      <c r="BH727" s="298">
        <f t="shared" si="14"/>
        <v>3.125E-2</v>
      </c>
      <c r="BI727" s="3"/>
      <c r="BJ727" s="3"/>
      <c r="BK727" s="3"/>
      <c r="BL727" s="3"/>
      <c r="BM727" s="3"/>
      <c r="BN727" s="3"/>
      <c r="BS727" s="294">
        <f t="shared" si="15"/>
        <v>5</v>
      </c>
      <c r="BT727" s="297">
        <f t="shared" si="16"/>
        <v>0.10416666666666667</v>
      </c>
      <c r="BU727" s="298">
        <f t="shared" si="17"/>
        <v>3.1256953716065863E-2</v>
      </c>
      <c r="CC727" s="3"/>
      <c r="CD727" s="3"/>
      <c r="CE727" s="3"/>
      <c r="CF727" s="3"/>
      <c r="CG727" s="1285">
        <f t="shared" ref="CG727:CG760" si="39">IF(AND(AC727&lt;=0.5,AC727&gt;=0.36),1,0)</f>
        <v>0</v>
      </c>
      <c r="CH727" s="1287"/>
      <c r="CI727" s="1269">
        <f t="shared" ref="CI727:CI760" si="40">IF(CG727=1,G727,0)</f>
        <v>0</v>
      </c>
      <c r="CJ727" s="1271"/>
      <c r="CK727" s="1285">
        <f t="shared" si="18"/>
        <v>1</v>
      </c>
      <c r="CL727" s="1287"/>
      <c r="CM727" s="1269">
        <f t="shared" si="19"/>
        <v>5</v>
      </c>
      <c r="CN727" s="1271"/>
      <c r="CO727" s="3"/>
      <c r="CP727" s="1266">
        <f t="shared" si="20"/>
        <v>0</v>
      </c>
      <c r="CQ727" s="1267"/>
      <c r="CR727" s="1267"/>
      <c r="CS727" s="1267"/>
      <c r="CT727" s="1268"/>
      <c r="CU727" s="1288">
        <f t="shared" si="21"/>
        <v>5</v>
      </c>
      <c r="CV727" s="1288"/>
      <c r="CW727" s="1288"/>
      <c r="CX727" s="1288"/>
      <c r="CY727" s="1288"/>
      <c r="CZ727" s="1288">
        <f t="shared" si="22"/>
        <v>0</v>
      </c>
      <c r="DA727" s="1288"/>
      <c r="DB727" s="1288"/>
      <c r="DC727" s="1288"/>
      <c r="DD727" s="1288"/>
      <c r="DE727" s="1288">
        <f t="shared" si="23"/>
        <v>0</v>
      </c>
      <c r="DF727" s="1288"/>
      <c r="DG727" s="1288"/>
      <c r="DH727" s="1288"/>
      <c r="DI727" s="1288"/>
      <c r="DJ727" s="1288">
        <f t="shared" si="24"/>
        <v>0</v>
      </c>
      <c r="DK727" s="1288"/>
      <c r="DL727" s="1288"/>
      <c r="DM727" s="1288"/>
      <c r="DN727" s="1288"/>
      <c r="DO727" s="1288">
        <f t="shared" si="25"/>
        <v>0</v>
      </c>
      <c r="DP727" s="1288"/>
      <c r="DQ727" s="1288"/>
      <c r="DR727" s="1288"/>
      <c r="DS727" s="1288"/>
      <c r="DT727" s="6"/>
      <c r="DU727" s="1306">
        <f t="shared" si="26"/>
        <v>0</v>
      </c>
      <c r="DV727" s="1306"/>
      <c r="DW727" s="1306"/>
      <c r="DX727" s="1306"/>
      <c r="DY727" s="1306"/>
      <c r="DZ727" s="1306">
        <f t="shared" si="27"/>
        <v>5</v>
      </c>
      <c r="EA727" s="1306"/>
      <c r="EB727" s="1306"/>
      <c r="EC727" s="1306"/>
      <c r="ED727" s="1306"/>
      <c r="EE727" s="1306">
        <f t="shared" si="28"/>
        <v>0</v>
      </c>
      <c r="EF727" s="1306"/>
      <c r="EG727" s="1306"/>
      <c r="EH727" s="1306"/>
      <c r="EI727" s="1306"/>
      <c r="EJ727" s="1306">
        <f t="shared" si="29"/>
        <v>0</v>
      </c>
      <c r="EK727" s="1306"/>
      <c r="EL727" s="1306"/>
      <c r="EM727" s="1306"/>
      <c r="EN727" s="1306"/>
      <c r="EO727" s="1306">
        <f t="shared" si="30"/>
        <v>0</v>
      </c>
      <c r="EP727" s="1306"/>
      <c r="EQ727" s="1306"/>
      <c r="ER727" s="1306"/>
      <c r="ES727" s="1306"/>
      <c r="ET727" s="1306">
        <f t="shared" si="31"/>
        <v>0</v>
      </c>
      <c r="EU727" s="1306"/>
      <c r="EV727" s="1306"/>
      <c r="EW727" s="1306"/>
      <c r="EX727" s="1306"/>
      <c r="EY727" s="4"/>
      <c r="EZ727" s="1285" t="str">
        <f t="shared" si="32"/>
        <v/>
      </c>
      <c r="FA727" s="1286"/>
      <c r="FB727" s="1286"/>
      <c r="FC727" s="1286"/>
      <c r="FD727" s="1287"/>
      <c r="FE727" s="1285">
        <f t="shared" si="33"/>
        <v>886</v>
      </c>
      <c r="FF727" s="1286"/>
      <c r="FG727" s="1286"/>
      <c r="FH727" s="1286"/>
      <c r="FI727" s="1287"/>
      <c r="FJ727" s="1285" t="str">
        <f t="shared" si="34"/>
        <v/>
      </c>
      <c r="FK727" s="1286"/>
      <c r="FL727" s="1286"/>
      <c r="FM727" s="1286"/>
      <c r="FN727" s="1287"/>
      <c r="FO727" s="1285" t="str">
        <f t="shared" si="35"/>
        <v/>
      </c>
      <c r="FP727" s="1286"/>
      <c r="FQ727" s="1286"/>
      <c r="FR727" s="1286"/>
      <c r="FS727" s="1287"/>
      <c r="FT727" s="1285" t="str">
        <f t="shared" si="36"/>
        <v/>
      </c>
      <c r="FU727" s="1286"/>
      <c r="FV727" s="1286"/>
      <c r="FW727" s="1286"/>
      <c r="FX727" s="1287"/>
      <c r="FY727" s="1285" t="str">
        <f t="shared" si="37"/>
        <v/>
      </c>
      <c r="FZ727" s="1286"/>
      <c r="GA727" s="1286"/>
      <c r="GB727" s="1286"/>
      <c r="GC727" s="1287"/>
    </row>
    <row r="728" spans="1:185" ht="12.95" customHeight="1">
      <c r="A728" s="4"/>
      <c r="B728" s="1290" t="s">
        <v>325</v>
      </c>
      <c r="C728" s="1291"/>
      <c r="D728" s="1291"/>
      <c r="E728" s="1291"/>
      <c r="F728" s="1292"/>
      <c r="G728" s="1518">
        <v>4</v>
      </c>
      <c r="H728" s="1519"/>
      <c r="I728" s="1519"/>
      <c r="J728" s="1520"/>
      <c r="K728" s="1525">
        <v>604</v>
      </c>
      <c r="L728" s="1526"/>
      <c r="M728" s="1526"/>
      <c r="N728" s="1527"/>
      <c r="O728" s="1296">
        <f>1199-13</f>
        <v>1186</v>
      </c>
      <c r="P728" s="1297"/>
      <c r="Q728" s="1297"/>
      <c r="R728" s="1297"/>
      <c r="S728" s="1298"/>
      <c r="T728" s="1296">
        <v>13</v>
      </c>
      <c r="U728" s="1297"/>
      <c r="V728" s="1297"/>
      <c r="W728" s="1298"/>
      <c r="X728" s="1299">
        <f t="shared" si="10"/>
        <v>1199</v>
      </c>
      <c r="Y728" s="1300"/>
      <c r="Z728" s="1300"/>
      <c r="AA728" s="1300"/>
      <c r="AB728" s="1301"/>
      <c r="AC728" s="1293">
        <v>0.4</v>
      </c>
      <c r="AD728" s="1294"/>
      <c r="AE728" s="1294"/>
      <c r="AF728" s="1294"/>
      <c r="AG728" s="1295"/>
      <c r="AH728" s="1302">
        <f t="shared" si="38"/>
        <v>0.40020026702269695</v>
      </c>
      <c r="AI728" s="1303"/>
      <c r="AJ728" s="1304"/>
      <c r="AK728" s="1290" t="s">
        <v>591</v>
      </c>
      <c r="AL728" s="1291"/>
      <c r="AM728" s="1291"/>
      <c r="AN728" s="1291"/>
      <c r="AO728" s="1292"/>
      <c r="AP728" s="3"/>
      <c r="AQ728" s="3"/>
      <c r="AR728" s="3"/>
      <c r="AS728" s="3"/>
      <c r="AZ728" s="118">
        <f t="shared" si="11"/>
        <v>2996</v>
      </c>
      <c r="BA728" s="3"/>
      <c r="BB728" s="3"/>
      <c r="BC728" s="3"/>
      <c r="BD728" s="3"/>
      <c r="BE728" s="204"/>
      <c r="BF728" s="294">
        <f t="shared" si="12"/>
        <v>4</v>
      </c>
      <c r="BG728" s="297">
        <f t="shared" si="13"/>
        <v>8.3333333333333329E-2</v>
      </c>
      <c r="BH728" s="298">
        <f t="shared" si="14"/>
        <v>3.3333333333333333E-2</v>
      </c>
      <c r="BI728" s="3"/>
      <c r="BJ728" s="3"/>
      <c r="BK728" s="3"/>
      <c r="BL728" s="3"/>
      <c r="BM728" s="3"/>
      <c r="BN728" s="3"/>
      <c r="BS728" s="294">
        <f t="shared" si="15"/>
        <v>4</v>
      </c>
      <c r="BT728" s="297">
        <f t="shared" si="16"/>
        <v>8.3333333333333329E-2</v>
      </c>
      <c r="BU728" s="298">
        <f t="shared" si="17"/>
        <v>3.3350022251891411E-2</v>
      </c>
      <c r="CC728" s="3"/>
      <c r="CD728" s="3"/>
      <c r="CE728" s="3"/>
      <c r="CF728" s="3"/>
      <c r="CG728" s="1285">
        <f t="shared" si="39"/>
        <v>1</v>
      </c>
      <c r="CH728" s="1287"/>
      <c r="CI728" s="1269">
        <f t="shared" si="40"/>
        <v>4</v>
      </c>
      <c r="CJ728" s="1271"/>
      <c r="CK728" s="1285">
        <f t="shared" si="18"/>
        <v>0</v>
      </c>
      <c r="CL728" s="1287"/>
      <c r="CM728" s="1269">
        <f t="shared" si="19"/>
        <v>0</v>
      </c>
      <c r="CN728" s="1271"/>
      <c r="CO728" s="3"/>
      <c r="CP728" s="1266">
        <f t="shared" si="20"/>
        <v>0</v>
      </c>
      <c r="CQ728" s="1267"/>
      <c r="CR728" s="1267"/>
      <c r="CS728" s="1267"/>
      <c r="CT728" s="1268"/>
      <c r="CU728" s="1288">
        <f t="shared" si="21"/>
        <v>4</v>
      </c>
      <c r="CV728" s="1288"/>
      <c r="CW728" s="1288"/>
      <c r="CX728" s="1288"/>
      <c r="CY728" s="1288"/>
      <c r="CZ728" s="1288">
        <f t="shared" si="22"/>
        <v>0</v>
      </c>
      <c r="DA728" s="1288"/>
      <c r="DB728" s="1288"/>
      <c r="DC728" s="1288"/>
      <c r="DD728" s="1288"/>
      <c r="DE728" s="1288">
        <f t="shared" si="23"/>
        <v>0</v>
      </c>
      <c r="DF728" s="1288"/>
      <c r="DG728" s="1288"/>
      <c r="DH728" s="1288"/>
      <c r="DI728" s="1288"/>
      <c r="DJ728" s="1288">
        <f t="shared" si="24"/>
        <v>0</v>
      </c>
      <c r="DK728" s="1288"/>
      <c r="DL728" s="1288"/>
      <c r="DM728" s="1288"/>
      <c r="DN728" s="1288"/>
      <c r="DO728" s="1288">
        <f t="shared" si="25"/>
        <v>0</v>
      </c>
      <c r="DP728" s="1288"/>
      <c r="DQ728" s="1288"/>
      <c r="DR728" s="1288"/>
      <c r="DS728" s="1288"/>
      <c r="DT728" s="6"/>
      <c r="DU728" s="1306">
        <f t="shared" si="26"/>
        <v>0</v>
      </c>
      <c r="DV728" s="1306"/>
      <c r="DW728" s="1306"/>
      <c r="DX728" s="1306"/>
      <c r="DY728" s="1306"/>
      <c r="DZ728" s="1306">
        <f t="shared" si="27"/>
        <v>0</v>
      </c>
      <c r="EA728" s="1306"/>
      <c r="EB728" s="1306"/>
      <c r="EC728" s="1306"/>
      <c r="ED728" s="1306"/>
      <c r="EE728" s="1306">
        <f t="shared" si="28"/>
        <v>0</v>
      </c>
      <c r="EF728" s="1306"/>
      <c r="EG728" s="1306"/>
      <c r="EH728" s="1306"/>
      <c r="EI728" s="1306"/>
      <c r="EJ728" s="1306">
        <f t="shared" si="29"/>
        <v>0</v>
      </c>
      <c r="EK728" s="1306"/>
      <c r="EL728" s="1306"/>
      <c r="EM728" s="1306"/>
      <c r="EN728" s="1306"/>
      <c r="EO728" s="1306">
        <f t="shared" si="30"/>
        <v>0</v>
      </c>
      <c r="EP728" s="1306"/>
      <c r="EQ728" s="1306"/>
      <c r="ER728" s="1306"/>
      <c r="ES728" s="1306"/>
      <c r="ET728" s="1306">
        <f t="shared" si="31"/>
        <v>0</v>
      </c>
      <c r="EU728" s="1306"/>
      <c r="EV728" s="1306"/>
      <c r="EW728" s="1306"/>
      <c r="EX728" s="1306"/>
      <c r="EZ728" s="1285" t="str">
        <f t="shared" si="32"/>
        <v/>
      </c>
      <c r="FA728" s="1286"/>
      <c r="FB728" s="1286"/>
      <c r="FC728" s="1286"/>
      <c r="FD728" s="1287"/>
      <c r="FE728" s="1285">
        <f t="shared" si="33"/>
        <v>1186</v>
      </c>
      <c r="FF728" s="1286"/>
      <c r="FG728" s="1286"/>
      <c r="FH728" s="1286"/>
      <c r="FI728" s="1287"/>
      <c r="FJ728" s="1285" t="str">
        <f t="shared" si="34"/>
        <v/>
      </c>
      <c r="FK728" s="1286"/>
      <c r="FL728" s="1286"/>
      <c r="FM728" s="1286"/>
      <c r="FN728" s="1287"/>
      <c r="FO728" s="1285" t="str">
        <f t="shared" si="35"/>
        <v/>
      </c>
      <c r="FP728" s="1286"/>
      <c r="FQ728" s="1286"/>
      <c r="FR728" s="1286"/>
      <c r="FS728" s="1287"/>
      <c r="FT728" s="1285" t="str">
        <f t="shared" si="36"/>
        <v/>
      </c>
      <c r="FU728" s="1286"/>
      <c r="FV728" s="1286"/>
      <c r="FW728" s="1286"/>
      <c r="FX728" s="1287"/>
      <c r="FY728" s="1285" t="str">
        <f t="shared" si="37"/>
        <v/>
      </c>
      <c r="FZ728" s="1286"/>
      <c r="GA728" s="1286"/>
      <c r="GB728" s="1286"/>
      <c r="GC728" s="1287"/>
    </row>
    <row r="729" spans="1:185" ht="12.95" customHeight="1">
      <c r="B729" s="1290" t="s">
        <v>325</v>
      </c>
      <c r="C729" s="1291"/>
      <c r="D729" s="1291"/>
      <c r="E729" s="1291"/>
      <c r="F729" s="1292"/>
      <c r="G729" s="1518">
        <v>5</v>
      </c>
      <c r="H729" s="1519"/>
      <c r="I729" s="1519"/>
      <c r="J729" s="1520"/>
      <c r="K729" s="1525">
        <v>604</v>
      </c>
      <c r="L729" s="1526"/>
      <c r="M729" s="1526"/>
      <c r="N729" s="1527"/>
      <c r="O729" s="1296">
        <f>1498-13</f>
        <v>1485</v>
      </c>
      <c r="P729" s="1297"/>
      <c r="Q729" s="1297"/>
      <c r="R729" s="1297"/>
      <c r="S729" s="1298"/>
      <c r="T729" s="1296">
        <v>13</v>
      </c>
      <c r="U729" s="1297"/>
      <c r="V729" s="1297"/>
      <c r="W729" s="1298"/>
      <c r="X729" s="1299">
        <f t="shared" si="10"/>
        <v>1498</v>
      </c>
      <c r="Y729" s="1300"/>
      <c r="Z729" s="1300"/>
      <c r="AA729" s="1300"/>
      <c r="AB729" s="1301"/>
      <c r="AC729" s="1293">
        <v>0.5</v>
      </c>
      <c r="AD729" s="1294"/>
      <c r="AE729" s="1294"/>
      <c r="AF729" s="1294"/>
      <c r="AG729" s="1295"/>
      <c r="AH729" s="1302">
        <f t="shared" si="38"/>
        <v>0.5</v>
      </c>
      <c r="AI729" s="1303"/>
      <c r="AJ729" s="1304"/>
      <c r="AK729" s="1290" t="s">
        <v>591</v>
      </c>
      <c r="AL729" s="1291"/>
      <c r="AM729" s="1291"/>
      <c r="AN729" s="1291"/>
      <c r="AO729" s="1292"/>
      <c r="AP729" s="3"/>
      <c r="AQ729" s="3"/>
      <c r="AR729" s="3"/>
      <c r="AS729" s="3"/>
      <c r="AY729" s="116"/>
      <c r="AZ729" s="118">
        <f t="shared" si="11"/>
        <v>2996</v>
      </c>
      <c r="BA729" s="3"/>
      <c r="BB729" s="3"/>
      <c r="BC729" s="3"/>
      <c r="BD729" s="3"/>
      <c r="BE729" s="204"/>
      <c r="BF729" s="294">
        <f t="shared" si="12"/>
        <v>5</v>
      </c>
      <c r="BG729" s="297">
        <f t="shared" si="13"/>
        <v>0.10416666666666667</v>
      </c>
      <c r="BH729" s="298">
        <f t="shared" si="14"/>
        <v>5.2083333333333336E-2</v>
      </c>
      <c r="BI729" s="3"/>
      <c r="BJ729" s="3"/>
      <c r="BK729" s="3"/>
      <c r="BL729" s="3"/>
      <c r="BM729" s="3"/>
      <c r="BN729" s="3"/>
      <c r="BS729" s="294">
        <f t="shared" si="15"/>
        <v>5</v>
      </c>
      <c r="BT729" s="297">
        <f t="shared" si="16"/>
        <v>0.10416666666666667</v>
      </c>
      <c r="BU729" s="298">
        <f t="shared" si="17"/>
        <v>5.2083333333333336E-2</v>
      </c>
      <c r="CC729" s="3"/>
      <c r="CD729" s="3"/>
      <c r="CE729" s="3"/>
      <c r="CF729" s="3"/>
      <c r="CG729" s="1285">
        <f t="shared" si="39"/>
        <v>1</v>
      </c>
      <c r="CH729" s="1287"/>
      <c r="CI729" s="1269">
        <f t="shared" si="40"/>
        <v>5</v>
      </c>
      <c r="CJ729" s="1271"/>
      <c r="CK729" s="1285">
        <f t="shared" si="18"/>
        <v>0</v>
      </c>
      <c r="CL729" s="1287"/>
      <c r="CM729" s="1269">
        <f t="shared" si="19"/>
        <v>0</v>
      </c>
      <c r="CN729" s="1271"/>
      <c r="CO729" s="3"/>
      <c r="CP729" s="1266">
        <f t="shared" si="20"/>
        <v>0</v>
      </c>
      <c r="CQ729" s="1267"/>
      <c r="CR729" s="1267"/>
      <c r="CS729" s="1267"/>
      <c r="CT729" s="1268"/>
      <c r="CU729" s="1288">
        <f t="shared" si="21"/>
        <v>5</v>
      </c>
      <c r="CV729" s="1288"/>
      <c r="CW729" s="1288"/>
      <c r="CX729" s="1288"/>
      <c r="CY729" s="1288"/>
      <c r="CZ729" s="1288">
        <f t="shared" si="22"/>
        <v>0</v>
      </c>
      <c r="DA729" s="1288"/>
      <c r="DB729" s="1288"/>
      <c r="DC729" s="1288"/>
      <c r="DD729" s="1288"/>
      <c r="DE729" s="1288">
        <f t="shared" si="23"/>
        <v>0</v>
      </c>
      <c r="DF729" s="1288"/>
      <c r="DG729" s="1288"/>
      <c r="DH729" s="1288"/>
      <c r="DI729" s="1288"/>
      <c r="DJ729" s="1288">
        <f t="shared" si="24"/>
        <v>0</v>
      </c>
      <c r="DK729" s="1288"/>
      <c r="DL729" s="1288"/>
      <c r="DM729" s="1288"/>
      <c r="DN729" s="1288"/>
      <c r="DO729" s="1288">
        <f t="shared" si="25"/>
        <v>0</v>
      </c>
      <c r="DP729" s="1288"/>
      <c r="DQ729" s="1288"/>
      <c r="DR729" s="1288"/>
      <c r="DS729" s="1288"/>
      <c r="DT729" s="6"/>
      <c r="DU729" s="1306">
        <f t="shared" si="26"/>
        <v>0</v>
      </c>
      <c r="DV729" s="1306"/>
      <c r="DW729" s="1306"/>
      <c r="DX729" s="1306"/>
      <c r="DY729" s="1306"/>
      <c r="DZ729" s="1306">
        <f t="shared" si="27"/>
        <v>0</v>
      </c>
      <c r="EA729" s="1306"/>
      <c r="EB729" s="1306"/>
      <c r="EC729" s="1306"/>
      <c r="ED729" s="1306"/>
      <c r="EE729" s="1306">
        <f t="shared" si="28"/>
        <v>0</v>
      </c>
      <c r="EF729" s="1306"/>
      <c r="EG729" s="1306"/>
      <c r="EH729" s="1306"/>
      <c r="EI729" s="1306"/>
      <c r="EJ729" s="1306">
        <f t="shared" si="29"/>
        <v>0</v>
      </c>
      <c r="EK729" s="1306"/>
      <c r="EL729" s="1306"/>
      <c r="EM729" s="1306"/>
      <c r="EN729" s="1306"/>
      <c r="EO729" s="1306">
        <f t="shared" si="30"/>
        <v>0</v>
      </c>
      <c r="EP729" s="1306"/>
      <c r="EQ729" s="1306"/>
      <c r="ER729" s="1306"/>
      <c r="ES729" s="1306"/>
      <c r="ET729" s="1306">
        <f t="shared" si="31"/>
        <v>0</v>
      </c>
      <c r="EU729" s="1306"/>
      <c r="EV729" s="1306"/>
      <c r="EW729" s="1306"/>
      <c r="EX729" s="1306"/>
      <c r="EZ729" s="1285" t="str">
        <f t="shared" si="32"/>
        <v/>
      </c>
      <c r="FA729" s="1286"/>
      <c r="FB729" s="1286"/>
      <c r="FC729" s="1286"/>
      <c r="FD729" s="1287"/>
      <c r="FE729" s="1285">
        <f t="shared" si="33"/>
        <v>1485</v>
      </c>
      <c r="FF729" s="1286"/>
      <c r="FG729" s="1286"/>
      <c r="FH729" s="1286"/>
      <c r="FI729" s="1287"/>
      <c r="FJ729" s="1285" t="str">
        <f t="shared" si="34"/>
        <v/>
      </c>
      <c r="FK729" s="1286"/>
      <c r="FL729" s="1286"/>
      <c r="FM729" s="1286"/>
      <c r="FN729" s="1287"/>
      <c r="FO729" s="1285" t="str">
        <f t="shared" si="35"/>
        <v/>
      </c>
      <c r="FP729" s="1286"/>
      <c r="FQ729" s="1286"/>
      <c r="FR729" s="1286"/>
      <c r="FS729" s="1287"/>
      <c r="FT729" s="1285" t="str">
        <f t="shared" si="36"/>
        <v/>
      </c>
      <c r="FU729" s="1286"/>
      <c r="FV729" s="1286"/>
      <c r="FW729" s="1286"/>
      <c r="FX729" s="1287"/>
      <c r="FY729" s="1285" t="str">
        <f t="shared" si="37"/>
        <v/>
      </c>
      <c r="FZ729" s="1286"/>
      <c r="GA729" s="1286"/>
      <c r="GB729" s="1286"/>
      <c r="GC729" s="1287"/>
    </row>
    <row r="730" spans="1:185" ht="12.95" customHeight="1">
      <c r="B730" s="1290" t="s">
        <v>325</v>
      </c>
      <c r="C730" s="1291"/>
      <c r="D730" s="1291"/>
      <c r="E730" s="1291"/>
      <c r="F730" s="1292"/>
      <c r="G730" s="1518">
        <v>10</v>
      </c>
      <c r="H730" s="1519"/>
      <c r="I730" s="1519"/>
      <c r="J730" s="1520"/>
      <c r="K730" s="1525">
        <v>604</v>
      </c>
      <c r="L730" s="1526"/>
      <c r="M730" s="1526"/>
      <c r="N730" s="1527"/>
      <c r="O730" s="1296">
        <f>1798-13</f>
        <v>1785</v>
      </c>
      <c r="P730" s="1297"/>
      <c r="Q730" s="1297"/>
      <c r="R730" s="1297"/>
      <c r="S730" s="1298"/>
      <c r="T730" s="1296">
        <v>13</v>
      </c>
      <c r="U730" s="1297"/>
      <c r="V730" s="1297"/>
      <c r="W730" s="1298"/>
      <c r="X730" s="1299">
        <f t="shared" si="10"/>
        <v>1798</v>
      </c>
      <c r="Y730" s="1300"/>
      <c r="Z730" s="1300"/>
      <c r="AA730" s="1300"/>
      <c r="AB730" s="1301"/>
      <c r="AC730" s="1293">
        <v>0.6</v>
      </c>
      <c r="AD730" s="1294"/>
      <c r="AE730" s="1294"/>
      <c r="AF730" s="1294"/>
      <c r="AG730" s="1295"/>
      <c r="AH730" s="1302">
        <f t="shared" si="38"/>
        <v>0.6001335113484646</v>
      </c>
      <c r="AI730" s="1303"/>
      <c r="AJ730" s="1304"/>
      <c r="AK730" s="1290" t="s">
        <v>591</v>
      </c>
      <c r="AL730" s="1291"/>
      <c r="AM730" s="1291"/>
      <c r="AN730" s="1291"/>
      <c r="AO730" s="1292"/>
      <c r="AP730" s="3"/>
      <c r="AQ730" s="3"/>
      <c r="AR730" s="3"/>
      <c r="AS730" s="3"/>
      <c r="AY730" s="116"/>
      <c r="AZ730" s="118">
        <f t="shared" si="11"/>
        <v>2996</v>
      </c>
      <c r="BA730" s="3"/>
      <c r="BB730" s="3"/>
      <c r="BC730" s="3"/>
      <c r="BD730" s="3"/>
      <c r="BE730" s="204"/>
      <c r="BF730" s="294">
        <f t="shared" si="12"/>
        <v>10</v>
      </c>
      <c r="BG730" s="297">
        <f t="shared" si="13"/>
        <v>0.20833333333333334</v>
      </c>
      <c r="BH730" s="298">
        <f t="shared" si="14"/>
        <v>0.125</v>
      </c>
      <c r="BI730" s="3"/>
      <c r="BJ730" s="3"/>
      <c r="BK730" s="3"/>
      <c r="BL730" s="3"/>
      <c r="BM730" s="3"/>
      <c r="BN730" s="3"/>
      <c r="BS730" s="294">
        <f t="shared" si="15"/>
        <v>10</v>
      </c>
      <c r="BT730" s="297">
        <f t="shared" si="16"/>
        <v>0.20833333333333334</v>
      </c>
      <c r="BU730" s="298">
        <f t="shared" si="17"/>
        <v>0.12502781486426345</v>
      </c>
      <c r="CC730" s="3"/>
      <c r="CD730" s="3"/>
      <c r="CE730" s="3"/>
      <c r="CF730" s="3"/>
      <c r="CG730" s="1285">
        <f t="shared" si="39"/>
        <v>0</v>
      </c>
      <c r="CH730" s="1287"/>
      <c r="CI730" s="1269">
        <f t="shared" si="40"/>
        <v>0</v>
      </c>
      <c r="CJ730" s="1271"/>
      <c r="CK730" s="1285">
        <f t="shared" si="18"/>
        <v>0</v>
      </c>
      <c r="CL730" s="1287"/>
      <c r="CM730" s="1269">
        <f t="shared" si="19"/>
        <v>0</v>
      </c>
      <c r="CN730" s="1271"/>
      <c r="CO730" s="3"/>
      <c r="CP730" s="1266">
        <f t="shared" si="20"/>
        <v>0</v>
      </c>
      <c r="CQ730" s="1267"/>
      <c r="CR730" s="1267"/>
      <c r="CS730" s="1267"/>
      <c r="CT730" s="1268"/>
      <c r="CU730" s="1288">
        <f t="shared" si="21"/>
        <v>10</v>
      </c>
      <c r="CV730" s="1288"/>
      <c r="CW730" s="1288"/>
      <c r="CX730" s="1288"/>
      <c r="CY730" s="1288"/>
      <c r="CZ730" s="1288">
        <f t="shared" si="22"/>
        <v>0</v>
      </c>
      <c r="DA730" s="1288"/>
      <c r="DB730" s="1288"/>
      <c r="DC730" s="1288"/>
      <c r="DD730" s="1288"/>
      <c r="DE730" s="1288">
        <f t="shared" si="23"/>
        <v>0</v>
      </c>
      <c r="DF730" s="1288"/>
      <c r="DG730" s="1288"/>
      <c r="DH730" s="1288"/>
      <c r="DI730" s="1288"/>
      <c r="DJ730" s="1288">
        <f t="shared" si="24"/>
        <v>0</v>
      </c>
      <c r="DK730" s="1288"/>
      <c r="DL730" s="1288"/>
      <c r="DM730" s="1288"/>
      <c r="DN730" s="1288"/>
      <c r="DO730" s="1288">
        <f t="shared" si="25"/>
        <v>0</v>
      </c>
      <c r="DP730" s="1288"/>
      <c r="DQ730" s="1288"/>
      <c r="DR730" s="1288"/>
      <c r="DS730" s="1288"/>
      <c r="DT730" s="6"/>
      <c r="DU730" s="1306">
        <f t="shared" si="26"/>
        <v>0</v>
      </c>
      <c r="DV730" s="1306"/>
      <c r="DW730" s="1306"/>
      <c r="DX730" s="1306"/>
      <c r="DY730" s="1306"/>
      <c r="DZ730" s="1306">
        <f t="shared" si="27"/>
        <v>0</v>
      </c>
      <c r="EA730" s="1306"/>
      <c r="EB730" s="1306"/>
      <c r="EC730" s="1306"/>
      <c r="ED730" s="1306"/>
      <c r="EE730" s="1306">
        <f t="shared" si="28"/>
        <v>0</v>
      </c>
      <c r="EF730" s="1306"/>
      <c r="EG730" s="1306"/>
      <c r="EH730" s="1306"/>
      <c r="EI730" s="1306"/>
      <c r="EJ730" s="1306">
        <f t="shared" si="29"/>
        <v>0</v>
      </c>
      <c r="EK730" s="1306"/>
      <c r="EL730" s="1306"/>
      <c r="EM730" s="1306"/>
      <c r="EN730" s="1306"/>
      <c r="EO730" s="1306">
        <f t="shared" si="30"/>
        <v>0</v>
      </c>
      <c r="EP730" s="1306"/>
      <c r="EQ730" s="1306"/>
      <c r="ER730" s="1306"/>
      <c r="ES730" s="1306"/>
      <c r="ET730" s="1306">
        <f t="shared" si="31"/>
        <v>0</v>
      </c>
      <c r="EU730" s="1306"/>
      <c r="EV730" s="1306"/>
      <c r="EW730" s="1306"/>
      <c r="EX730" s="1306"/>
      <c r="EZ730" s="1285" t="str">
        <f t="shared" si="32"/>
        <v/>
      </c>
      <c r="FA730" s="1286"/>
      <c r="FB730" s="1286"/>
      <c r="FC730" s="1286"/>
      <c r="FD730" s="1287"/>
      <c r="FE730" s="1285">
        <f t="shared" si="33"/>
        <v>1785</v>
      </c>
      <c r="FF730" s="1286"/>
      <c r="FG730" s="1286"/>
      <c r="FH730" s="1286"/>
      <c r="FI730" s="1287"/>
      <c r="FJ730" s="1285" t="str">
        <f t="shared" si="34"/>
        <v/>
      </c>
      <c r="FK730" s="1286"/>
      <c r="FL730" s="1286"/>
      <c r="FM730" s="1286"/>
      <c r="FN730" s="1287"/>
      <c r="FO730" s="1285" t="str">
        <f t="shared" si="35"/>
        <v/>
      </c>
      <c r="FP730" s="1286"/>
      <c r="FQ730" s="1286"/>
      <c r="FR730" s="1286"/>
      <c r="FS730" s="1287"/>
      <c r="FT730" s="1285" t="str">
        <f t="shared" si="36"/>
        <v/>
      </c>
      <c r="FU730" s="1286"/>
      <c r="FV730" s="1286"/>
      <c r="FW730" s="1286"/>
      <c r="FX730" s="1287"/>
      <c r="FY730" s="1285" t="str">
        <f t="shared" si="37"/>
        <v/>
      </c>
      <c r="FZ730" s="1286"/>
      <c r="GA730" s="1286"/>
      <c r="GB730" s="1286"/>
      <c r="GC730" s="1287"/>
    </row>
    <row r="731" spans="1:185" ht="12.95" customHeight="1">
      <c r="B731" s="1290" t="s">
        <v>325</v>
      </c>
      <c r="C731" s="1291"/>
      <c r="D731" s="1291"/>
      <c r="E731" s="1291"/>
      <c r="F731" s="1292"/>
      <c r="G731" s="1518">
        <v>16</v>
      </c>
      <c r="H731" s="1519"/>
      <c r="I731" s="1519"/>
      <c r="J731" s="1520"/>
      <c r="K731" s="1525">
        <v>604</v>
      </c>
      <c r="L731" s="1526"/>
      <c r="M731" s="1526"/>
      <c r="N731" s="1527"/>
      <c r="O731" s="1296">
        <f>2120-13</f>
        <v>2107</v>
      </c>
      <c r="P731" s="1297"/>
      <c r="Q731" s="1297"/>
      <c r="R731" s="1297"/>
      <c r="S731" s="1298"/>
      <c r="T731" s="1296">
        <v>13</v>
      </c>
      <c r="U731" s="1297"/>
      <c r="V731" s="1297"/>
      <c r="W731" s="1298"/>
      <c r="X731" s="1299">
        <f t="shared" si="10"/>
        <v>2120</v>
      </c>
      <c r="Y731" s="1300"/>
      <c r="Z731" s="1300"/>
      <c r="AA731" s="1300"/>
      <c r="AB731" s="1301"/>
      <c r="AC731" s="1293">
        <v>0.8</v>
      </c>
      <c r="AD731" s="1294"/>
      <c r="AE731" s="1294"/>
      <c r="AF731" s="1294"/>
      <c r="AG731" s="1295"/>
      <c r="AH731" s="1302">
        <f t="shared" si="38"/>
        <v>0.70761014686248336</v>
      </c>
      <c r="AI731" s="1303"/>
      <c r="AJ731" s="1304"/>
      <c r="AK731" s="1290" t="s">
        <v>591</v>
      </c>
      <c r="AL731" s="1291"/>
      <c r="AM731" s="1291"/>
      <c r="AN731" s="1291"/>
      <c r="AO731" s="1292"/>
      <c r="AP731" s="3"/>
      <c r="AQ731" s="3"/>
      <c r="AR731" s="3"/>
      <c r="AS731" s="3"/>
      <c r="AY731" s="116"/>
      <c r="AZ731" s="118">
        <f t="shared" si="11"/>
        <v>2996</v>
      </c>
      <c r="BA731" s="3"/>
      <c r="BB731" s="3"/>
      <c r="BC731" s="3"/>
      <c r="BD731" s="3"/>
      <c r="BE731" s="204"/>
      <c r="BF731" s="294">
        <f t="shared" si="12"/>
        <v>16</v>
      </c>
      <c r="BG731" s="297">
        <f t="shared" si="13"/>
        <v>0.33333333333333331</v>
      </c>
      <c r="BH731" s="298">
        <f t="shared" si="14"/>
        <v>0.26666666666666666</v>
      </c>
      <c r="BI731" s="3"/>
      <c r="BJ731" s="3"/>
      <c r="BK731" s="3"/>
      <c r="BL731" s="3"/>
      <c r="BM731" s="3"/>
      <c r="BN731" s="3"/>
      <c r="BS731" s="294">
        <f t="shared" si="15"/>
        <v>16</v>
      </c>
      <c r="BT731" s="297">
        <f t="shared" si="16"/>
        <v>0.33333333333333331</v>
      </c>
      <c r="BU731" s="298">
        <f t="shared" si="17"/>
        <v>0.23587004895416111</v>
      </c>
      <c r="CC731" s="3"/>
      <c r="CD731" s="3"/>
      <c r="CE731" s="3"/>
      <c r="CF731" s="3"/>
      <c r="CG731" s="1285">
        <f t="shared" si="39"/>
        <v>0</v>
      </c>
      <c r="CH731" s="1287"/>
      <c r="CI731" s="1269">
        <f t="shared" si="40"/>
        <v>0</v>
      </c>
      <c r="CJ731" s="1271"/>
      <c r="CK731" s="1285">
        <f t="shared" si="18"/>
        <v>0</v>
      </c>
      <c r="CL731" s="1287"/>
      <c r="CM731" s="1269">
        <f t="shared" si="19"/>
        <v>0</v>
      </c>
      <c r="CN731" s="1271"/>
      <c r="CO731" s="3"/>
      <c r="CP731" s="1266">
        <f t="shared" si="20"/>
        <v>0</v>
      </c>
      <c r="CQ731" s="1267"/>
      <c r="CR731" s="1267"/>
      <c r="CS731" s="1267"/>
      <c r="CT731" s="1268"/>
      <c r="CU731" s="1288">
        <f t="shared" si="21"/>
        <v>16</v>
      </c>
      <c r="CV731" s="1288"/>
      <c r="CW731" s="1288"/>
      <c r="CX731" s="1288"/>
      <c r="CY731" s="1288"/>
      <c r="CZ731" s="1288">
        <f t="shared" si="22"/>
        <v>0</v>
      </c>
      <c r="DA731" s="1288"/>
      <c r="DB731" s="1288"/>
      <c r="DC731" s="1288"/>
      <c r="DD731" s="1288"/>
      <c r="DE731" s="1288">
        <f t="shared" si="23"/>
        <v>0</v>
      </c>
      <c r="DF731" s="1288"/>
      <c r="DG731" s="1288"/>
      <c r="DH731" s="1288"/>
      <c r="DI731" s="1288"/>
      <c r="DJ731" s="1288">
        <f t="shared" si="24"/>
        <v>0</v>
      </c>
      <c r="DK731" s="1288"/>
      <c r="DL731" s="1288"/>
      <c r="DM731" s="1288"/>
      <c r="DN731" s="1288"/>
      <c r="DO731" s="1288">
        <f t="shared" si="25"/>
        <v>0</v>
      </c>
      <c r="DP731" s="1288"/>
      <c r="DQ731" s="1288"/>
      <c r="DR731" s="1288"/>
      <c r="DS731" s="1288"/>
      <c r="DT731" s="6"/>
      <c r="DU731" s="1306">
        <f t="shared" si="26"/>
        <v>0</v>
      </c>
      <c r="DV731" s="1306"/>
      <c r="DW731" s="1306"/>
      <c r="DX731" s="1306"/>
      <c r="DY731" s="1306"/>
      <c r="DZ731" s="1306">
        <f t="shared" si="27"/>
        <v>0</v>
      </c>
      <c r="EA731" s="1306"/>
      <c r="EB731" s="1306"/>
      <c r="EC731" s="1306"/>
      <c r="ED731" s="1306"/>
      <c r="EE731" s="1306">
        <f t="shared" si="28"/>
        <v>0</v>
      </c>
      <c r="EF731" s="1306"/>
      <c r="EG731" s="1306"/>
      <c r="EH731" s="1306"/>
      <c r="EI731" s="1306"/>
      <c r="EJ731" s="1306">
        <f t="shared" si="29"/>
        <v>0</v>
      </c>
      <c r="EK731" s="1306"/>
      <c r="EL731" s="1306"/>
      <c r="EM731" s="1306"/>
      <c r="EN731" s="1306"/>
      <c r="EO731" s="1306">
        <f t="shared" si="30"/>
        <v>0</v>
      </c>
      <c r="EP731" s="1306"/>
      <c r="EQ731" s="1306"/>
      <c r="ER731" s="1306"/>
      <c r="ES731" s="1306"/>
      <c r="ET731" s="1306">
        <f t="shared" si="31"/>
        <v>0</v>
      </c>
      <c r="EU731" s="1306"/>
      <c r="EV731" s="1306"/>
      <c r="EW731" s="1306"/>
      <c r="EX731" s="1306"/>
      <c r="EZ731" s="1285" t="str">
        <f t="shared" si="32"/>
        <v/>
      </c>
      <c r="FA731" s="1286"/>
      <c r="FB731" s="1286"/>
      <c r="FC731" s="1286"/>
      <c r="FD731" s="1287"/>
      <c r="FE731" s="1285">
        <f t="shared" si="33"/>
        <v>2107</v>
      </c>
      <c r="FF731" s="1286"/>
      <c r="FG731" s="1286"/>
      <c r="FH731" s="1286"/>
      <c r="FI731" s="1287"/>
      <c r="FJ731" s="1285" t="str">
        <f t="shared" si="34"/>
        <v/>
      </c>
      <c r="FK731" s="1286"/>
      <c r="FL731" s="1286"/>
      <c r="FM731" s="1286"/>
      <c r="FN731" s="1287"/>
      <c r="FO731" s="1285" t="str">
        <f t="shared" si="35"/>
        <v/>
      </c>
      <c r="FP731" s="1286"/>
      <c r="FQ731" s="1286"/>
      <c r="FR731" s="1286"/>
      <c r="FS731" s="1287"/>
      <c r="FT731" s="1285" t="str">
        <f t="shared" si="36"/>
        <v/>
      </c>
      <c r="FU731" s="1286"/>
      <c r="FV731" s="1286"/>
      <c r="FW731" s="1286"/>
      <c r="FX731" s="1287"/>
      <c r="FY731" s="1285" t="str">
        <f t="shared" si="37"/>
        <v/>
      </c>
      <c r="FZ731" s="1286"/>
      <c r="GA731" s="1286"/>
      <c r="GB731" s="1286"/>
      <c r="GC731" s="1287"/>
    </row>
    <row r="732" spans="1:185" ht="12.95" customHeight="1">
      <c r="B732" s="1290" t="s">
        <v>163</v>
      </c>
      <c r="C732" s="1291"/>
      <c r="D732" s="1291"/>
      <c r="E732" s="1291"/>
      <c r="F732" s="1292"/>
      <c r="G732" s="1518">
        <v>1</v>
      </c>
      <c r="H732" s="1519"/>
      <c r="I732" s="1519"/>
      <c r="J732" s="1520"/>
      <c r="K732" s="1525">
        <v>905</v>
      </c>
      <c r="L732" s="1526"/>
      <c r="M732" s="1526"/>
      <c r="N732" s="1527"/>
      <c r="O732" s="1296">
        <f>1079-13</f>
        <v>1066</v>
      </c>
      <c r="P732" s="1297"/>
      <c r="Q732" s="1297"/>
      <c r="R732" s="1297"/>
      <c r="S732" s="1298"/>
      <c r="T732" s="1296">
        <v>13</v>
      </c>
      <c r="U732" s="1297"/>
      <c r="V732" s="1297"/>
      <c r="W732" s="1298"/>
      <c r="X732" s="1299">
        <f t="shared" si="10"/>
        <v>1079</v>
      </c>
      <c r="Y732" s="1300"/>
      <c r="Z732" s="1300"/>
      <c r="AA732" s="1300"/>
      <c r="AB732" s="1301"/>
      <c r="AC732" s="1293">
        <v>0.3</v>
      </c>
      <c r="AD732" s="1294"/>
      <c r="AE732" s="1294"/>
      <c r="AF732" s="1294"/>
      <c r="AG732" s="1295"/>
      <c r="AH732" s="1302">
        <f t="shared" si="38"/>
        <v>0.30005561735261399</v>
      </c>
      <c r="AI732" s="1303"/>
      <c r="AJ732" s="1304"/>
      <c r="AK732" s="1290" t="s">
        <v>591</v>
      </c>
      <c r="AL732" s="1291"/>
      <c r="AM732" s="1291"/>
      <c r="AN732" s="1291"/>
      <c r="AO732" s="1292"/>
      <c r="AP732" s="3"/>
      <c r="AQ732" s="3"/>
      <c r="AR732" s="3"/>
      <c r="AS732" s="3"/>
      <c r="AY732" s="116"/>
      <c r="AZ732" s="118">
        <f t="shared" si="11"/>
        <v>3596</v>
      </c>
      <c r="BA732" s="3"/>
      <c r="BB732" s="3"/>
      <c r="BC732" s="3"/>
      <c r="BD732" s="3"/>
      <c r="BE732" s="204"/>
      <c r="BF732" s="294">
        <f t="shared" si="12"/>
        <v>1</v>
      </c>
      <c r="BG732" s="297">
        <f t="shared" si="13"/>
        <v>2.0833333333333332E-2</v>
      </c>
      <c r="BH732" s="298">
        <f t="shared" si="14"/>
        <v>6.2499999999999995E-3</v>
      </c>
      <c r="BI732" s="3"/>
      <c r="BJ732" s="3"/>
      <c r="BK732" s="3"/>
      <c r="BL732" s="3"/>
      <c r="BM732" s="3"/>
      <c r="BN732" s="3"/>
      <c r="BS732" s="294">
        <f t="shared" si="15"/>
        <v>1</v>
      </c>
      <c r="BT732" s="297">
        <f t="shared" si="16"/>
        <v>2.0833333333333332E-2</v>
      </c>
      <c r="BU732" s="298">
        <f t="shared" si="17"/>
        <v>6.2511586948461248E-3</v>
      </c>
      <c r="CC732" s="3"/>
      <c r="CE732" s="3"/>
      <c r="CF732" s="3"/>
      <c r="CG732" s="1285">
        <f t="shared" si="39"/>
        <v>0</v>
      </c>
      <c r="CH732" s="1287"/>
      <c r="CI732" s="1269">
        <f t="shared" si="40"/>
        <v>0</v>
      </c>
      <c r="CJ732" s="1271"/>
      <c r="CK732" s="1285">
        <f t="shared" si="18"/>
        <v>1</v>
      </c>
      <c r="CL732" s="1287"/>
      <c r="CM732" s="1269">
        <f t="shared" si="19"/>
        <v>1</v>
      </c>
      <c r="CN732" s="1271"/>
      <c r="CO732" s="3"/>
      <c r="CP732" s="1266">
        <f t="shared" si="20"/>
        <v>0</v>
      </c>
      <c r="CQ732" s="1267"/>
      <c r="CR732" s="1267"/>
      <c r="CS732" s="1267"/>
      <c r="CT732" s="1268"/>
      <c r="CU732" s="1288">
        <f t="shared" si="21"/>
        <v>0</v>
      </c>
      <c r="CV732" s="1288"/>
      <c r="CW732" s="1288"/>
      <c r="CX732" s="1288"/>
      <c r="CY732" s="1288"/>
      <c r="CZ732" s="1288">
        <f t="shared" si="22"/>
        <v>1</v>
      </c>
      <c r="DA732" s="1288"/>
      <c r="DB732" s="1288"/>
      <c r="DC732" s="1288"/>
      <c r="DD732" s="1288"/>
      <c r="DE732" s="1288">
        <f t="shared" si="23"/>
        <v>0</v>
      </c>
      <c r="DF732" s="1288"/>
      <c r="DG732" s="1288"/>
      <c r="DH732" s="1288"/>
      <c r="DI732" s="1288"/>
      <c r="DJ732" s="1288">
        <f t="shared" si="24"/>
        <v>0</v>
      </c>
      <c r="DK732" s="1288"/>
      <c r="DL732" s="1288"/>
      <c r="DM732" s="1288"/>
      <c r="DN732" s="1288"/>
      <c r="DO732" s="1288">
        <f t="shared" si="25"/>
        <v>0</v>
      </c>
      <c r="DP732" s="1288"/>
      <c r="DQ732" s="1288"/>
      <c r="DR732" s="1288"/>
      <c r="DS732" s="1288"/>
      <c r="DT732" s="6"/>
      <c r="DU732" s="1306">
        <f t="shared" si="26"/>
        <v>0</v>
      </c>
      <c r="DV732" s="1306"/>
      <c r="DW732" s="1306"/>
      <c r="DX732" s="1306"/>
      <c r="DY732" s="1306"/>
      <c r="DZ732" s="1306">
        <f t="shared" si="27"/>
        <v>0</v>
      </c>
      <c r="EA732" s="1306"/>
      <c r="EB732" s="1306"/>
      <c r="EC732" s="1306"/>
      <c r="ED732" s="1306"/>
      <c r="EE732" s="1306">
        <f t="shared" si="28"/>
        <v>1</v>
      </c>
      <c r="EF732" s="1306"/>
      <c r="EG732" s="1306"/>
      <c r="EH732" s="1306"/>
      <c r="EI732" s="1306"/>
      <c r="EJ732" s="1306">
        <f t="shared" si="29"/>
        <v>0</v>
      </c>
      <c r="EK732" s="1306"/>
      <c r="EL732" s="1306"/>
      <c r="EM732" s="1306"/>
      <c r="EN732" s="1306"/>
      <c r="EO732" s="1306">
        <f t="shared" si="30"/>
        <v>0</v>
      </c>
      <c r="EP732" s="1306"/>
      <c r="EQ732" s="1306"/>
      <c r="ER732" s="1306"/>
      <c r="ES732" s="1306"/>
      <c r="ET732" s="1306">
        <f t="shared" si="31"/>
        <v>0</v>
      </c>
      <c r="EU732" s="1306"/>
      <c r="EV732" s="1306"/>
      <c r="EW732" s="1306"/>
      <c r="EX732" s="1306"/>
      <c r="EZ732" s="1285" t="str">
        <f t="shared" si="32"/>
        <v/>
      </c>
      <c r="FA732" s="1286"/>
      <c r="FB732" s="1286"/>
      <c r="FC732" s="1286"/>
      <c r="FD732" s="1287"/>
      <c r="FE732" s="1285" t="str">
        <f t="shared" si="33"/>
        <v/>
      </c>
      <c r="FF732" s="1286"/>
      <c r="FG732" s="1286"/>
      <c r="FH732" s="1286"/>
      <c r="FI732" s="1287"/>
      <c r="FJ732" s="1285">
        <f t="shared" si="34"/>
        <v>1066</v>
      </c>
      <c r="FK732" s="1286"/>
      <c r="FL732" s="1286"/>
      <c r="FM732" s="1286"/>
      <c r="FN732" s="1287"/>
      <c r="FO732" s="1285" t="str">
        <f t="shared" si="35"/>
        <v/>
      </c>
      <c r="FP732" s="1286"/>
      <c r="FQ732" s="1286"/>
      <c r="FR732" s="1286"/>
      <c r="FS732" s="1287"/>
      <c r="FT732" s="1285" t="str">
        <f t="shared" si="36"/>
        <v/>
      </c>
      <c r="FU732" s="1286"/>
      <c r="FV732" s="1286"/>
      <c r="FW732" s="1286"/>
      <c r="FX732" s="1287"/>
      <c r="FY732" s="1285" t="str">
        <f t="shared" si="37"/>
        <v/>
      </c>
      <c r="FZ732" s="1286"/>
      <c r="GA732" s="1286"/>
      <c r="GB732" s="1286"/>
      <c r="GC732" s="1287"/>
    </row>
    <row r="733" spans="1:185" ht="12.95" customHeight="1">
      <c r="B733" s="1290" t="s">
        <v>163</v>
      </c>
      <c r="C733" s="1291"/>
      <c r="D733" s="1291"/>
      <c r="E733" s="1291"/>
      <c r="F733" s="1292"/>
      <c r="G733" s="1518">
        <v>1</v>
      </c>
      <c r="H733" s="1519"/>
      <c r="I733" s="1519"/>
      <c r="J733" s="1520"/>
      <c r="K733" s="1525">
        <v>905</v>
      </c>
      <c r="L733" s="1526"/>
      <c r="M733" s="1526"/>
      <c r="N733" s="1527"/>
      <c r="O733" s="1296">
        <f>1798-13</f>
        <v>1785</v>
      </c>
      <c r="P733" s="1297"/>
      <c r="Q733" s="1297"/>
      <c r="R733" s="1297"/>
      <c r="S733" s="1298"/>
      <c r="T733" s="1296">
        <v>13</v>
      </c>
      <c r="U733" s="1297"/>
      <c r="V733" s="1297"/>
      <c r="W733" s="1298"/>
      <c r="X733" s="1299">
        <f t="shared" si="10"/>
        <v>1798</v>
      </c>
      <c r="Y733" s="1300"/>
      <c r="Z733" s="1300"/>
      <c r="AA733" s="1300"/>
      <c r="AB733" s="1301"/>
      <c r="AC733" s="1293">
        <v>0.5</v>
      </c>
      <c r="AD733" s="1294"/>
      <c r="AE733" s="1294"/>
      <c r="AF733" s="1294"/>
      <c r="AG733" s="1295"/>
      <c r="AH733" s="1302">
        <f t="shared" si="38"/>
        <v>0.5</v>
      </c>
      <c r="AI733" s="1303"/>
      <c r="AJ733" s="1304"/>
      <c r="AK733" s="1290" t="s">
        <v>591</v>
      </c>
      <c r="AL733" s="1291"/>
      <c r="AM733" s="1291"/>
      <c r="AN733" s="1291"/>
      <c r="AO733" s="1292"/>
      <c r="AP733" s="3"/>
      <c r="AQ733" s="3"/>
      <c r="AR733" s="3"/>
      <c r="AS733" s="3"/>
      <c r="AY733" s="1080"/>
      <c r="AZ733" s="118">
        <f t="shared" si="11"/>
        <v>3596</v>
      </c>
      <c r="BA733" s="3"/>
      <c r="BB733" s="3"/>
      <c r="BC733" s="3"/>
      <c r="BD733" s="3"/>
      <c r="BE733" s="204"/>
      <c r="BF733" s="294">
        <f t="shared" si="12"/>
        <v>1</v>
      </c>
      <c r="BG733" s="297">
        <f t="shared" si="13"/>
        <v>2.0833333333333332E-2</v>
      </c>
      <c r="BH733" s="298">
        <f t="shared" si="14"/>
        <v>1.0416666666666666E-2</v>
      </c>
      <c r="BI733" s="3"/>
      <c r="BJ733" s="3"/>
      <c r="BK733" s="3"/>
      <c r="BL733" s="3"/>
      <c r="BM733" s="3"/>
      <c r="BN733" s="3"/>
      <c r="BS733" s="294">
        <f t="shared" si="15"/>
        <v>1</v>
      </c>
      <c r="BT733" s="297">
        <f t="shared" si="16"/>
        <v>2.0833333333333332E-2</v>
      </c>
      <c r="BU733" s="298">
        <f t="shared" si="17"/>
        <v>1.0416666666666666E-2</v>
      </c>
      <c r="BV733" s="292"/>
      <c r="BW733" s="3"/>
      <c r="BX733" s="3"/>
      <c r="BY733" s="3"/>
      <c r="BZ733" s="3"/>
      <c r="CA733" s="3"/>
      <c r="CB733" s="3"/>
      <c r="CC733" s="3"/>
      <c r="CE733" s="3"/>
      <c r="CF733" s="3"/>
      <c r="CG733" s="1285">
        <f t="shared" si="39"/>
        <v>1</v>
      </c>
      <c r="CH733" s="1287"/>
      <c r="CI733" s="1269">
        <f t="shared" si="40"/>
        <v>1</v>
      </c>
      <c r="CJ733" s="1271"/>
      <c r="CK733" s="1285">
        <f t="shared" si="18"/>
        <v>0</v>
      </c>
      <c r="CL733" s="1287"/>
      <c r="CM733" s="1269">
        <f t="shared" si="19"/>
        <v>0</v>
      </c>
      <c r="CN733" s="1271"/>
      <c r="CO733" s="3"/>
      <c r="CP733" s="1266">
        <f t="shared" si="20"/>
        <v>0</v>
      </c>
      <c r="CQ733" s="1267"/>
      <c r="CR733" s="1267"/>
      <c r="CS733" s="1267"/>
      <c r="CT733" s="1268"/>
      <c r="CU733" s="1288">
        <f t="shared" si="21"/>
        <v>0</v>
      </c>
      <c r="CV733" s="1288"/>
      <c r="CW733" s="1288"/>
      <c r="CX733" s="1288"/>
      <c r="CY733" s="1288"/>
      <c r="CZ733" s="1288">
        <f t="shared" si="22"/>
        <v>1</v>
      </c>
      <c r="DA733" s="1288"/>
      <c r="DB733" s="1288"/>
      <c r="DC733" s="1288"/>
      <c r="DD733" s="1288"/>
      <c r="DE733" s="1288">
        <f t="shared" si="23"/>
        <v>0</v>
      </c>
      <c r="DF733" s="1288"/>
      <c r="DG733" s="1288"/>
      <c r="DH733" s="1288"/>
      <c r="DI733" s="1288"/>
      <c r="DJ733" s="1288">
        <f t="shared" si="24"/>
        <v>0</v>
      </c>
      <c r="DK733" s="1288"/>
      <c r="DL733" s="1288"/>
      <c r="DM733" s="1288"/>
      <c r="DN733" s="1288"/>
      <c r="DO733" s="1288">
        <f t="shared" si="25"/>
        <v>0</v>
      </c>
      <c r="DP733" s="1288"/>
      <c r="DQ733" s="1288"/>
      <c r="DR733" s="1288"/>
      <c r="DS733" s="1288"/>
      <c r="DT733" s="6"/>
      <c r="DU733" s="1306">
        <f t="shared" si="26"/>
        <v>0</v>
      </c>
      <c r="DV733" s="1306"/>
      <c r="DW733" s="1306"/>
      <c r="DX733" s="1306"/>
      <c r="DY733" s="1306"/>
      <c r="DZ733" s="1306">
        <f t="shared" si="27"/>
        <v>0</v>
      </c>
      <c r="EA733" s="1306"/>
      <c r="EB733" s="1306"/>
      <c r="EC733" s="1306"/>
      <c r="ED733" s="1306"/>
      <c r="EE733" s="1306">
        <f t="shared" si="28"/>
        <v>0</v>
      </c>
      <c r="EF733" s="1306"/>
      <c r="EG733" s="1306"/>
      <c r="EH733" s="1306"/>
      <c r="EI733" s="1306"/>
      <c r="EJ733" s="1306">
        <f t="shared" si="29"/>
        <v>0</v>
      </c>
      <c r="EK733" s="1306"/>
      <c r="EL733" s="1306"/>
      <c r="EM733" s="1306"/>
      <c r="EN733" s="1306"/>
      <c r="EO733" s="1306">
        <f t="shared" si="30"/>
        <v>0</v>
      </c>
      <c r="EP733" s="1306"/>
      <c r="EQ733" s="1306"/>
      <c r="ER733" s="1306"/>
      <c r="ES733" s="1306"/>
      <c r="ET733" s="1306">
        <f t="shared" si="31"/>
        <v>0</v>
      </c>
      <c r="EU733" s="1306"/>
      <c r="EV733" s="1306"/>
      <c r="EW733" s="1306"/>
      <c r="EX733" s="1306"/>
      <c r="EZ733" s="1285" t="str">
        <f t="shared" si="32"/>
        <v/>
      </c>
      <c r="FA733" s="1286"/>
      <c r="FB733" s="1286"/>
      <c r="FC733" s="1286"/>
      <c r="FD733" s="1287"/>
      <c r="FE733" s="1285" t="str">
        <f t="shared" si="33"/>
        <v/>
      </c>
      <c r="FF733" s="1286"/>
      <c r="FG733" s="1286"/>
      <c r="FH733" s="1286"/>
      <c r="FI733" s="1287"/>
      <c r="FJ733" s="1285">
        <f t="shared" si="34"/>
        <v>1785</v>
      </c>
      <c r="FK733" s="1286"/>
      <c r="FL733" s="1286"/>
      <c r="FM733" s="1286"/>
      <c r="FN733" s="1287"/>
      <c r="FO733" s="1285" t="str">
        <f t="shared" si="35"/>
        <v/>
      </c>
      <c r="FP733" s="1286"/>
      <c r="FQ733" s="1286"/>
      <c r="FR733" s="1286"/>
      <c r="FS733" s="1287"/>
      <c r="FT733" s="1285" t="str">
        <f t="shared" si="36"/>
        <v/>
      </c>
      <c r="FU733" s="1286"/>
      <c r="FV733" s="1286"/>
      <c r="FW733" s="1286"/>
      <c r="FX733" s="1287"/>
      <c r="FY733" s="1285" t="str">
        <f t="shared" si="37"/>
        <v/>
      </c>
      <c r="FZ733" s="1286"/>
      <c r="GA733" s="1286"/>
      <c r="GB733" s="1286"/>
      <c r="GC733" s="1287"/>
    </row>
    <row r="734" spans="1:185" ht="12.95" customHeight="1">
      <c r="B734" s="1290" t="s">
        <v>163</v>
      </c>
      <c r="C734" s="1291"/>
      <c r="D734" s="1291"/>
      <c r="E734" s="1291"/>
      <c r="F734" s="1292"/>
      <c r="G734" s="1518">
        <v>5</v>
      </c>
      <c r="H734" s="1519"/>
      <c r="I734" s="1519"/>
      <c r="J734" s="1520"/>
      <c r="K734" s="1525">
        <v>905</v>
      </c>
      <c r="L734" s="1526"/>
      <c r="M734" s="1526"/>
      <c r="N734" s="1527"/>
      <c r="O734" s="1296">
        <f>2158-13</f>
        <v>2145</v>
      </c>
      <c r="P734" s="1297"/>
      <c r="Q734" s="1297"/>
      <c r="R734" s="1297"/>
      <c r="S734" s="1298"/>
      <c r="T734" s="1296">
        <v>13</v>
      </c>
      <c r="U734" s="1297"/>
      <c r="V734" s="1297"/>
      <c r="W734" s="1298"/>
      <c r="X734" s="1299">
        <f t="shared" si="10"/>
        <v>2158</v>
      </c>
      <c r="Y734" s="1300"/>
      <c r="Z734" s="1300"/>
      <c r="AA734" s="1300"/>
      <c r="AB734" s="1301"/>
      <c r="AC734" s="1293">
        <v>0.6</v>
      </c>
      <c r="AD734" s="1294"/>
      <c r="AE734" s="1294"/>
      <c r="AF734" s="1294"/>
      <c r="AG734" s="1295"/>
      <c r="AH734" s="1302">
        <f t="shared" si="38"/>
        <v>0.60011123470522798</v>
      </c>
      <c r="AI734" s="1303"/>
      <c r="AJ734" s="1304"/>
      <c r="AK734" s="1290" t="s">
        <v>591</v>
      </c>
      <c r="AL734" s="1291"/>
      <c r="AM734" s="1291"/>
      <c r="AN734" s="1291"/>
      <c r="AO734" s="1292"/>
      <c r="AP734" s="3"/>
      <c r="AQ734" s="3"/>
      <c r="AR734" s="3"/>
      <c r="AS734" s="3"/>
      <c r="AY734" s="1080"/>
      <c r="AZ734" s="118">
        <f t="shared" si="11"/>
        <v>3596</v>
      </c>
      <c r="BA734" s="3"/>
      <c r="BB734" s="3"/>
      <c r="BC734" s="3"/>
      <c r="BD734" s="3"/>
      <c r="BE734" s="204"/>
      <c r="BF734" s="294">
        <f t="shared" si="12"/>
        <v>5</v>
      </c>
      <c r="BG734" s="297">
        <f t="shared" si="13"/>
        <v>0.10416666666666667</v>
      </c>
      <c r="BH734" s="298">
        <f t="shared" si="14"/>
        <v>6.25E-2</v>
      </c>
      <c r="BI734" s="3"/>
      <c r="BJ734" s="3"/>
      <c r="BK734" s="3"/>
      <c r="BL734" s="3"/>
      <c r="BM734" s="3"/>
      <c r="BN734" s="3"/>
      <c r="BS734" s="294">
        <f t="shared" si="15"/>
        <v>5</v>
      </c>
      <c r="BT734" s="297">
        <f t="shared" si="16"/>
        <v>0.10416666666666667</v>
      </c>
      <c r="BU734" s="298">
        <f t="shared" si="17"/>
        <v>6.2511586948461248E-2</v>
      </c>
      <c r="BV734" s="3"/>
      <c r="BW734" s="3"/>
      <c r="BX734" s="3"/>
      <c r="BY734" s="3"/>
      <c r="BZ734" s="3"/>
      <c r="CA734" s="3"/>
      <c r="CB734" s="3"/>
      <c r="CC734" s="3"/>
      <c r="CE734" s="3"/>
      <c r="CF734" s="3"/>
      <c r="CG734" s="1285">
        <f t="shared" si="39"/>
        <v>0</v>
      </c>
      <c r="CH734" s="1287"/>
      <c r="CI734" s="1269">
        <f t="shared" si="40"/>
        <v>0</v>
      </c>
      <c r="CJ734" s="1271"/>
      <c r="CK734" s="1285">
        <f t="shared" si="18"/>
        <v>0</v>
      </c>
      <c r="CL734" s="1287"/>
      <c r="CM734" s="1269">
        <f t="shared" si="19"/>
        <v>0</v>
      </c>
      <c r="CN734" s="1271"/>
      <c r="CO734" s="3"/>
      <c r="CP734" s="1266">
        <f t="shared" si="20"/>
        <v>0</v>
      </c>
      <c r="CQ734" s="1267"/>
      <c r="CR734" s="1267"/>
      <c r="CS734" s="1267"/>
      <c r="CT734" s="1268"/>
      <c r="CU734" s="1288">
        <f t="shared" si="21"/>
        <v>0</v>
      </c>
      <c r="CV734" s="1288"/>
      <c r="CW734" s="1288"/>
      <c r="CX734" s="1288"/>
      <c r="CY734" s="1288"/>
      <c r="CZ734" s="1288">
        <f t="shared" si="22"/>
        <v>5</v>
      </c>
      <c r="DA734" s="1288"/>
      <c r="DB734" s="1288"/>
      <c r="DC734" s="1288"/>
      <c r="DD734" s="1288"/>
      <c r="DE734" s="1288">
        <f t="shared" si="23"/>
        <v>0</v>
      </c>
      <c r="DF734" s="1288"/>
      <c r="DG734" s="1288"/>
      <c r="DH734" s="1288"/>
      <c r="DI734" s="1288"/>
      <c r="DJ734" s="1288">
        <f t="shared" si="24"/>
        <v>0</v>
      </c>
      <c r="DK734" s="1288"/>
      <c r="DL734" s="1288"/>
      <c r="DM734" s="1288"/>
      <c r="DN734" s="1288"/>
      <c r="DO734" s="1288">
        <f t="shared" si="25"/>
        <v>0</v>
      </c>
      <c r="DP734" s="1288"/>
      <c r="DQ734" s="1288"/>
      <c r="DR734" s="1288"/>
      <c r="DS734" s="1288"/>
      <c r="DT734" s="6"/>
      <c r="DU734" s="1306">
        <f t="shared" si="26"/>
        <v>0</v>
      </c>
      <c r="DV734" s="1306"/>
      <c r="DW734" s="1306"/>
      <c r="DX734" s="1306"/>
      <c r="DY734" s="1306"/>
      <c r="DZ734" s="1306">
        <f t="shared" si="27"/>
        <v>0</v>
      </c>
      <c r="EA734" s="1306"/>
      <c r="EB734" s="1306"/>
      <c r="EC734" s="1306"/>
      <c r="ED734" s="1306"/>
      <c r="EE734" s="1306">
        <f t="shared" si="28"/>
        <v>0</v>
      </c>
      <c r="EF734" s="1306"/>
      <c r="EG734" s="1306"/>
      <c r="EH734" s="1306"/>
      <c r="EI734" s="1306"/>
      <c r="EJ734" s="1306">
        <f t="shared" si="29"/>
        <v>0</v>
      </c>
      <c r="EK734" s="1306"/>
      <c r="EL734" s="1306"/>
      <c r="EM734" s="1306"/>
      <c r="EN734" s="1306"/>
      <c r="EO734" s="1306">
        <f t="shared" si="30"/>
        <v>0</v>
      </c>
      <c r="EP734" s="1306"/>
      <c r="EQ734" s="1306"/>
      <c r="ER734" s="1306"/>
      <c r="ES734" s="1306"/>
      <c r="ET734" s="1306">
        <f t="shared" si="31"/>
        <v>0</v>
      </c>
      <c r="EU734" s="1306"/>
      <c r="EV734" s="1306"/>
      <c r="EW734" s="1306"/>
      <c r="EX734" s="1306"/>
      <c r="EY734" s="4"/>
      <c r="EZ734" s="1285" t="str">
        <f t="shared" si="32"/>
        <v/>
      </c>
      <c r="FA734" s="1286"/>
      <c r="FB734" s="1286"/>
      <c r="FC734" s="1286"/>
      <c r="FD734" s="1287"/>
      <c r="FE734" s="1285" t="str">
        <f t="shared" si="33"/>
        <v/>
      </c>
      <c r="FF734" s="1286"/>
      <c r="FG734" s="1286"/>
      <c r="FH734" s="1286"/>
      <c r="FI734" s="1287"/>
      <c r="FJ734" s="1285">
        <f t="shared" si="34"/>
        <v>2145</v>
      </c>
      <c r="FK734" s="1286"/>
      <c r="FL734" s="1286"/>
      <c r="FM734" s="1286"/>
      <c r="FN734" s="1287"/>
      <c r="FO734" s="1285" t="str">
        <f t="shared" si="35"/>
        <v/>
      </c>
      <c r="FP734" s="1286"/>
      <c r="FQ734" s="1286"/>
      <c r="FR734" s="1286"/>
      <c r="FS734" s="1287"/>
      <c r="FT734" s="1285" t="str">
        <f t="shared" si="36"/>
        <v/>
      </c>
      <c r="FU734" s="1286"/>
      <c r="FV734" s="1286"/>
      <c r="FW734" s="1286"/>
      <c r="FX734" s="1287"/>
      <c r="FY734" s="1285" t="str">
        <f t="shared" si="37"/>
        <v/>
      </c>
      <c r="FZ734" s="1286"/>
      <c r="GA734" s="1286"/>
      <c r="GB734" s="1286"/>
      <c r="GC734" s="1287"/>
    </row>
    <row r="735" spans="1:185" ht="12.95" customHeight="1">
      <c r="A735" s="4"/>
      <c r="B735" s="1290"/>
      <c r="C735" s="1291"/>
      <c r="D735" s="1291"/>
      <c r="E735" s="1291"/>
      <c r="F735" s="1292"/>
      <c r="G735" s="1518"/>
      <c r="H735" s="1519"/>
      <c r="I735" s="1519"/>
      <c r="J735" s="1520"/>
      <c r="K735" s="1525"/>
      <c r="L735" s="1526"/>
      <c r="M735" s="1526"/>
      <c r="N735" s="1527"/>
      <c r="O735" s="1296"/>
      <c r="P735" s="1297"/>
      <c r="Q735" s="1297"/>
      <c r="R735" s="1297"/>
      <c r="S735" s="1298"/>
      <c r="T735" s="1296"/>
      <c r="U735" s="1297"/>
      <c r="V735" s="1297"/>
      <c r="W735" s="1298"/>
      <c r="X735" s="1299">
        <f t="shared" si="10"/>
        <v>0</v>
      </c>
      <c r="Y735" s="1300"/>
      <c r="Z735" s="1300"/>
      <c r="AA735" s="1300"/>
      <c r="AB735" s="1301"/>
      <c r="AC735" s="1293"/>
      <c r="AD735" s="1294"/>
      <c r="AE735" s="1294"/>
      <c r="AF735" s="1294"/>
      <c r="AG735" s="1295"/>
      <c r="AH735" s="1302" t="str">
        <f t="shared" si="38"/>
        <v/>
      </c>
      <c r="AI735" s="1303"/>
      <c r="AJ735" s="1304"/>
      <c r="AK735" s="1290" t="s">
        <v>591</v>
      </c>
      <c r="AL735" s="1291"/>
      <c r="AM735" s="1291"/>
      <c r="AN735" s="1291"/>
      <c r="AO735" s="1292"/>
      <c r="AP735" s="3"/>
      <c r="AQ735" s="3"/>
      <c r="AR735" s="3"/>
      <c r="AS735" s="3"/>
      <c r="AY735" s="1080"/>
      <c r="AZ735" s="118" t="str">
        <f t="shared" si="11"/>
        <v>N/A</v>
      </c>
      <c r="BA735" s="3"/>
      <c r="BB735" s="3"/>
      <c r="BC735" s="3"/>
      <c r="BD735" s="3"/>
      <c r="BE735" s="204"/>
      <c r="BF735" s="294">
        <f t="shared" si="12"/>
        <v>0</v>
      </c>
      <c r="BG735" s="297">
        <f t="shared" si="13"/>
        <v>0</v>
      </c>
      <c r="BH735" s="298" t="str">
        <f t="shared" si="14"/>
        <v/>
      </c>
      <c r="BI735" s="3"/>
      <c r="BJ735" s="3"/>
      <c r="BK735" s="3"/>
      <c r="BL735" s="3"/>
      <c r="BM735" s="3"/>
      <c r="BN735" s="3"/>
      <c r="BS735" s="294">
        <f t="shared" si="15"/>
        <v>0</v>
      </c>
      <c r="BT735" s="297">
        <f t="shared" si="16"/>
        <v>0</v>
      </c>
      <c r="BU735" s="298" t="str">
        <f t="shared" si="17"/>
        <v/>
      </c>
      <c r="BV735" s="3"/>
      <c r="BW735" s="3"/>
      <c r="BX735" s="3"/>
      <c r="BY735" s="3"/>
      <c r="BZ735" s="3"/>
      <c r="CA735" s="3"/>
      <c r="CB735" s="3"/>
      <c r="CC735" s="3"/>
      <c r="CE735" s="3"/>
      <c r="CF735" s="3"/>
      <c r="CG735" s="1285">
        <f t="shared" si="39"/>
        <v>0</v>
      </c>
      <c r="CH735" s="1287"/>
      <c r="CI735" s="1269">
        <f t="shared" si="40"/>
        <v>0</v>
      </c>
      <c r="CJ735" s="1271"/>
      <c r="CK735" s="1285">
        <f t="shared" si="18"/>
        <v>0</v>
      </c>
      <c r="CL735" s="1287"/>
      <c r="CM735" s="1269">
        <f t="shared" si="19"/>
        <v>0</v>
      </c>
      <c r="CN735" s="1271"/>
      <c r="CO735" s="3"/>
      <c r="CP735" s="1266">
        <f t="shared" si="20"/>
        <v>0</v>
      </c>
      <c r="CQ735" s="1267"/>
      <c r="CR735" s="1267"/>
      <c r="CS735" s="1267"/>
      <c r="CT735" s="1268"/>
      <c r="CU735" s="1288">
        <f t="shared" si="21"/>
        <v>0</v>
      </c>
      <c r="CV735" s="1288"/>
      <c r="CW735" s="1288"/>
      <c r="CX735" s="1288"/>
      <c r="CY735" s="1288"/>
      <c r="CZ735" s="1288">
        <f t="shared" si="22"/>
        <v>0</v>
      </c>
      <c r="DA735" s="1288"/>
      <c r="DB735" s="1288"/>
      <c r="DC735" s="1288"/>
      <c r="DD735" s="1288"/>
      <c r="DE735" s="1288">
        <f t="shared" si="23"/>
        <v>0</v>
      </c>
      <c r="DF735" s="1288"/>
      <c r="DG735" s="1288"/>
      <c r="DH735" s="1288"/>
      <c r="DI735" s="1288"/>
      <c r="DJ735" s="1288">
        <f t="shared" si="24"/>
        <v>0</v>
      </c>
      <c r="DK735" s="1288"/>
      <c r="DL735" s="1288"/>
      <c r="DM735" s="1288"/>
      <c r="DN735" s="1288"/>
      <c r="DO735" s="1288">
        <f t="shared" si="25"/>
        <v>0</v>
      </c>
      <c r="DP735" s="1288"/>
      <c r="DQ735" s="1288"/>
      <c r="DR735" s="1288"/>
      <c r="DS735" s="1288"/>
      <c r="DT735" s="6"/>
      <c r="DU735" s="1306">
        <f t="shared" si="26"/>
        <v>0</v>
      </c>
      <c r="DV735" s="1306"/>
      <c r="DW735" s="1306"/>
      <c r="DX735" s="1306"/>
      <c r="DY735" s="1306"/>
      <c r="DZ735" s="1306">
        <f t="shared" si="27"/>
        <v>0</v>
      </c>
      <c r="EA735" s="1306"/>
      <c r="EB735" s="1306"/>
      <c r="EC735" s="1306"/>
      <c r="ED735" s="1306"/>
      <c r="EE735" s="1306">
        <f t="shared" si="28"/>
        <v>0</v>
      </c>
      <c r="EF735" s="1306"/>
      <c r="EG735" s="1306"/>
      <c r="EH735" s="1306"/>
      <c r="EI735" s="1306"/>
      <c r="EJ735" s="1306">
        <f t="shared" si="29"/>
        <v>0</v>
      </c>
      <c r="EK735" s="1306"/>
      <c r="EL735" s="1306"/>
      <c r="EM735" s="1306"/>
      <c r="EN735" s="1306"/>
      <c r="EO735" s="1306">
        <f t="shared" si="30"/>
        <v>0</v>
      </c>
      <c r="EP735" s="1306"/>
      <c r="EQ735" s="1306"/>
      <c r="ER735" s="1306"/>
      <c r="ES735" s="1306"/>
      <c r="ET735" s="1306">
        <f t="shared" si="31"/>
        <v>0</v>
      </c>
      <c r="EU735" s="1306"/>
      <c r="EV735" s="1306"/>
      <c r="EW735" s="1306"/>
      <c r="EX735" s="1306"/>
      <c r="EY735" s="4"/>
      <c r="EZ735" s="1285" t="str">
        <f t="shared" si="32"/>
        <v/>
      </c>
      <c r="FA735" s="1286"/>
      <c r="FB735" s="1286"/>
      <c r="FC735" s="1286"/>
      <c r="FD735" s="1287"/>
      <c r="FE735" s="1285" t="str">
        <f t="shared" si="33"/>
        <v/>
      </c>
      <c r="FF735" s="1286"/>
      <c r="FG735" s="1286"/>
      <c r="FH735" s="1286"/>
      <c r="FI735" s="1287"/>
      <c r="FJ735" s="1285" t="str">
        <f t="shared" si="34"/>
        <v/>
      </c>
      <c r="FK735" s="1286"/>
      <c r="FL735" s="1286"/>
      <c r="FM735" s="1286"/>
      <c r="FN735" s="1287"/>
      <c r="FO735" s="1285" t="str">
        <f t="shared" si="35"/>
        <v/>
      </c>
      <c r="FP735" s="1286"/>
      <c r="FQ735" s="1286"/>
      <c r="FR735" s="1286"/>
      <c r="FS735" s="1287"/>
      <c r="FT735" s="1285" t="str">
        <f t="shared" si="36"/>
        <v/>
      </c>
      <c r="FU735" s="1286"/>
      <c r="FV735" s="1286"/>
      <c r="FW735" s="1286"/>
      <c r="FX735" s="1287"/>
      <c r="FY735" s="1285" t="str">
        <f t="shared" si="37"/>
        <v/>
      </c>
      <c r="FZ735" s="1286"/>
      <c r="GA735" s="1286"/>
      <c r="GB735" s="1286"/>
      <c r="GC735" s="1287"/>
    </row>
    <row r="736" spans="1:185" ht="12.95" customHeight="1">
      <c r="A736" s="4"/>
      <c r="B736" s="1290"/>
      <c r="C736" s="1291"/>
      <c r="D736" s="1291"/>
      <c r="E736" s="1291"/>
      <c r="F736" s="1292"/>
      <c r="G736" s="1518"/>
      <c r="H736" s="1519"/>
      <c r="I736" s="1519"/>
      <c r="J736" s="1520"/>
      <c r="K736" s="1525"/>
      <c r="L736" s="1526"/>
      <c r="M736" s="1526"/>
      <c r="N736" s="1527"/>
      <c r="O736" s="1296"/>
      <c r="P736" s="1297"/>
      <c r="Q736" s="1297"/>
      <c r="R736" s="1297"/>
      <c r="S736" s="1298"/>
      <c r="T736" s="1296"/>
      <c r="U736" s="1297"/>
      <c r="V736" s="1297"/>
      <c r="W736" s="1298"/>
      <c r="X736" s="1299">
        <f t="shared" si="10"/>
        <v>0</v>
      </c>
      <c r="Y736" s="1300"/>
      <c r="Z736" s="1300"/>
      <c r="AA736" s="1300"/>
      <c r="AB736" s="1301"/>
      <c r="AC736" s="1293"/>
      <c r="AD736" s="1294"/>
      <c r="AE736" s="1294"/>
      <c r="AF736" s="1294"/>
      <c r="AG736" s="1295"/>
      <c r="AH736" s="1302" t="str">
        <f t="shared" si="38"/>
        <v/>
      </c>
      <c r="AI736" s="1303"/>
      <c r="AJ736" s="1304"/>
      <c r="AK736" s="1290" t="s">
        <v>591</v>
      </c>
      <c r="AL736" s="1291"/>
      <c r="AM736" s="1291"/>
      <c r="AN736" s="1291"/>
      <c r="AO736" s="1292"/>
      <c r="AP736" s="3"/>
      <c r="AQ736" s="3"/>
      <c r="AR736" s="3"/>
      <c r="AS736" s="3"/>
      <c r="AY736" s="1080"/>
      <c r="AZ736" s="118" t="str">
        <f t="shared" si="11"/>
        <v>N/A</v>
      </c>
      <c r="BA736" s="3"/>
      <c r="BB736" s="3"/>
      <c r="BC736" s="3"/>
      <c r="BD736" s="3"/>
      <c r="BE736" s="204"/>
      <c r="BF736" s="294">
        <f t="shared" si="12"/>
        <v>0</v>
      </c>
      <c r="BG736" s="297">
        <f t="shared" si="13"/>
        <v>0</v>
      </c>
      <c r="BH736" s="298" t="str">
        <f t="shared" si="14"/>
        <v/>
      </c>
      <c r="BI736" s="3"/>
      <c r="BJ736" s="3"/>
      <c r="BK736" s="3"/>
      <c r="BL736" s="3"/>
      <c r="BM736" s="3"/>
      <c r="BN736" s="3"/>
      <c r="BS736" s="294">
        <f t="shared" si="15"/>
        <v>0</v>
      </c>
      <c r="BT736" s="297">
        <f t="shared" si="16"/>
        <v>0</v>
      </c>
      <c r="BU736" s="298" t="str">
        <f t="shared" si="17"/>
        <v/>
      </c>
      <c r="BV736" s="3"/>
      <c r="BW736" s="3"/>
      <c r="BX736" s="3"/>
      <c r="BY736" s="3"/>
      <c r="BZ736" s="3"/>
      <c r="CA736" s="3"/>
      <c r="CB736" s="3"/>
      <c r="CC736" s="3"/>
      <c r="CE736" s="3"/>
      <c r="CF736" s="3"/>
      <c r="CG736" s="1285">
        <f t="shared" si="39"/>
        <v>0</v>
      </c>
      <c r="CH736" s="1287"/>
      <c r="CI736" s="1269">
        <f t="shared" si="40"/>
        <v>0</v>
      </c>
      <c r="CJ736" s="1271"/>
      <c r="CK736" s="1285">
        <f t="shared" si="18"/>
        <v>0</v>
      </c>
      <c r="CL736" s="1287"/>
      <c r="CM736" s="1269">
        <f t="shared" si="19"/>
        <v>0</v>
      </c>
      <c r="CN736" s="1271"/>
      <c r="CO736" s="3"/>
      <c r="CP736" s="1266">
        <f t="shared" si="20"/>
        <v>0</v>
      </c>
      <c r="CQ736" s="1267"/>
      <c r="CR736" s="1267"/>
      <c r="CS736" s="1267"/>
      <c r="CT736" s="1268"/>
      <c r="CU736" s="1288">
        <f t="shared" si="21"/>
        <v>0</v>
      </c>
      <c r="CV736" s="1288"/>
      <c r="CW736" s="1288"/>
      <c r="CX736" s="1288"/>
      <c r="CY736" s="1288"/>
      <c r="CZ736" s="1288">
        <f t="shared" si="22"/>
        <v>0</v>
      </c>
      <c r="DA736" s="1288"/>
      <c r="DB736" s="1288"/>
      <c r="DC736" s="1288"/>
      <c r="DD736" s="1288"/>
      <c r="DE736" s="1288">
        <f t="shared" si="23"/>
        <v>0</v>
      </c>
      <c r="DF736" s="1288"/>
      <c r="DG736" s="1288"/>
      <c r="DH736" s="1288"/>
      <c r="DI736" s="1288"/>
      <c r="DJ736" s="1288">
        <f t="shared" si="24"/>
        <v>0</v>
      </c>
      <c r="DK736" s="1288"/>
      <c r="DL736" s="1288"/>
      <c r="DM736" s="1288"/>
      <c r="DN736" s="1288"/>
      <c r="DO736" s="1288">
        <f t="shared" si="25"/>
        <v>0</v>
      </c>
      <c r="DP736" s="1288"/>
      <c r="DQ736" s="1288"/>
      <c r="DR736" s="1288"/>
      <c r="DS736" s="1288"/>
      <c r="DT736" s="6"/>
      <c r="DU736" s="1306">
        <f t="shared" si="26"/>
        <v>0</v>
      </c>
      <c r="DV736" s="1306"/>
      <c r="DW736" s="1306"/>
      <c r="DX736" s="1306"/>
      <c r="DY736" s="1306"/>
      <c r="DZ736" s="1306">
        <f t="shared" si="27"/>
        <v>0</v>
      </c>
      <c r="EA736" s="1306"/>
      <c r="EB736" s="1306"/>
      <c r="EC736" s="1306"/>
      <c r="ED736" s="1306"/>
      <c r="EE736" s="1306">
        <f t="shared" si="28"/>
        <v>0</v>
      </c>
      <c r="EF736" s="1306"/>
      <c r="EG736" s="1306"/>
      <c r="EH736" s="1306"/>
      <c r="EI736" s="1306"/>
      <c r="EJ736" s="1306">
        <f t="shared" si="29"/>
        <v>0</v>
      </c>
      <c r="EK736" s="1306"/>
      <c r="EL736" s="1306"/>
      <c r="EM736" s="1306"/>
      <c r="EN736" s="1306"/>
      <c r="EO736" s="1306">
        <f t="shared" si="30"/>
        <v>0</v>
      </c>
      <c r="EP736" s="1306"/>
      <c r="EQ736" s="1306"/>
      <c r="ER736" s="1306"/>
      <c r="ES736" s="1306"/>
      <c r="ET736" s="1306">
        <f t="shared" si="31"/>
        <v>0</v>
      </c>
      <c r="EU736" s="1306"/>
      <c r="EV736" s="1306"/>
      <c r="EW736" s="1306"/>
      <c r="EX736" s="1306"/>
      <c r="EY736" s="4"/>
      <c r="EZ736" s="1285" t="str">
        <f t="shared" si="32"/>
        <v/>
      </c>
      <c r="FA736" s="1286"/>
      <c r="FB736" s="1286"/>
      <c r="FC736" s="1286"/>
      <c r="FD736" s="1287"/>
      <c r="FE736" s="1285" t="str">
        <f t="shared" si="33"/>
        <v/>
      </c>
      <c r="FF736" s="1286"/>
      <c r="FG736" s="1286"/>
      <c r="FH736" s="1286"/>
      <c r="FI736" s="1287"/>
      <c r="FJ736" s="1285" t="str">
        <f t="shared" si="34"/>
        <v/>
      </c>
      <c r="FK736" s="1286"/>
      <c r="FL736" s="1286"/>
      <c r="FM736" s="1286"/>
      <c r="FN736" s="1287"/>
      <c r="FO736" s="1285" t="str">
        <f t="shared" si="35"/>
        <v/>
      </c>
      <c r="FP736" s="1286"/>
      <c r="FQ736" s="1286"/>
      <c r="FR736" s="1286"/>
      <c r="FS736" s="1287"/>
      <c r="FT736" s="1285" t="str">
        <f t="shared" si="36"/>
        <v/>
      </c>
      <c r="FU736" s="1286"/>
      <c r="FV736" s="1286"/>
      <c r="FW736" s="1286"/>
      <c r="FX736" s="1287"/>
      <c r="FY736" s="1285" t="str">
        <f t="shared" si="37"/>
        <v/>
      </c>
      <c r="FZ736" s="1286"/>
      <c r="GA736" s="1286"/>
      <c r="GB736" s="1286"/>
      <c r="GC736" s="1287"/>
    </row>
    <row r="737" spans="1:185" ht="12.95" customHeight="1">
      <c r="A737" s="4"/>
      <c r="B737" s="1290"/>
      <c r="C737" s="1291"/>
      <c r="D737" s="1291"/>
      <c r="E737" s="1291"/>
      <c r="F737" s="1292"/>
      <c r="G737" s="1518"/>
      <c r="H737" s="1519"/>
      <c r="I737" s="1519"/>
      <c r="J737" s="1520"/>
      <c r="K737" s="1525"/>
      <c r="L737" s="1526"/>
      <c r="M737" s="1526"/>
      <c r="N737" s="1527"/>
      <c r="O737" s="1296"/>
      <c r="P737" s="1297"/>
      <c r="Q737" s="1297"/>
      <c r="R737" s="1297"/>
      <c r="S737" s="1298"/>
      <c r="T737" s="1296"/>
      <c r="U737" s="1297"/>
      <c r="V737" s="1297"/>
      <c r="W737" s="1298"/>
      <c r="X737" s="1299">
        <f t="shared" si="10"/>
        <v>0</v>
      </c>
      <c r="Y737" s="1300"/>
      <c r="Z737" s="1300"/>
      <c r="AA737" s="1300"/>
      <c r="AB737" s="1301"/>
      <c r="AC737" s="1293"/>
      <c r="AD737" s="1294"/>
      <c r="AE737" s="1294"/>
      <c r="AF737" s="1294"/>
      <c r="AG737" s="1295"/>
      <c r="AH737" s="1302" t="str">
        <f t="shared" si="38"/>
        <v/>
      </c>
      <c r="AI737" s="1303"/>
      <c r="AJ737" s="1304"/>
      <c r="AK737" s="1290" t="s">
        <v>591</v>
      </c>
      <c r="AL737" s="1291"/>
      <c r="AM737" s="1291"/>
      <c r="AN737" s="1291"/>
      <c r="AO737" s="1292"/>
      <c r="AP737" s="3"/>
      <c r="AQ737" s="3"/>
      <c r="AR737" s="3"/>
      <c r="AS737" s="3"/>
      <c r="AY737" s="1080"/>
      <c r="AZ737" s="118" t="str">
        <f t="shared" si="11"/>
        <v>N/A</v>
      </c>
      <c r="BA737" s="3"/>
      <c r="BB737" s="3"/>
      <c r="BC737" s="3"/>
      <c r="BD737" s="3"/>
      <c r="BE737" s="204"/>
      <c r="BF737" s="294">
        <f t="shared" si="12"/>
        <v>0</v>
      </c>
      <c r="BG737" s="297">
        <f t="shared" si="13"/>
        <v>0</v>
      </c>
      <c r="BH737" s="298" t="str">
        <f t="shared" si="14"/>
        <v/>
      </c>
      <c r="BI737" s="3"/>
      <c r="BJ737" s="3"/>
      <c r="BK737" s="3"/>
      <c r="BL737" s="3"/>
      <c r="BM737" s="3"/>
      <c r="BN737" s="3"/>
      <c r="BS737" s="294">
        <f t="shared" si="15"/>
        <v>0</v>
      </c>
      <c r="BT737" s="297">
        <f t="shared" si="16"/>
        <v>0</v>
      </c>
      <c r="BU737" s="298" t="str">
        <f t="shared" si="17"/>
        <v/>
      </c>
      <c r="BV737" s="3"/>
      <c r="BW737" s="3"/>
      <c r="BX737" s="3"/>
      <c r="BY737" s="3"/>
      <c r="BZ737" s="3"/>
      <c r="CA737" s="3"/>
      <c r="CB737" s="3"/>
      <c r="CC737" s="3"/>
      <c r="CE737" s="3"/>
      <c r="CF737" s="3"/>
      <c r="CG737" s="1285">
        <f t="shared" si="39"/>
        <v>0</v>
      </c>
      <c r="CH737" s="1287"/>
      <c r="CI737" s="1269">
        <f t="shared" si="40"/>
        <v>0</v>
      </c>
      <c r="CJ737" s="1271"/>
      <c r="CK737" s="1285">
        <f t="shared" si="18"/>
        <v>0</v>
      </c>
      <c r="CL737" s="1287"/>
      <c r="CM737" s="1269">
        <f t="shared" si="19"/>
        <v>0</v>
      </c>
      <c r="CN737" s="1271"/>
      <c r="CO737" s="3"/>
      <c r="CP737" s="1266">
        <f t="shared" si="20"/>
        <v>0</v>
      </c>
      <c r="CQ737" s="1267"/>
      <c r="CR737" s="1267"/>
      <c r="CS737" s="1267"/>
      <c r="CT737" s="1268"/>
      <c r="CU737" s="1288">
        <f t="shared" si="21"/>
        <v>0</v>
      </c>
      <c r="CV737" s="1288"/>
      <c r="CW737" s="1288"/>
      <c r="CX737" s="1288"/>
      <c r="CY737" s="1288"/>
      <c r="CZ737" s="1288">
        <f t="shared" si="22"/>
        <v>0</v>
      </c>
      <c r="DA737" s="1288"/>
      <c r="DB737" s="1288"/>
      <c r="DC737" s="1288"/>
      <c r="DD737" s="1288"/>
      <c r="DE737" s="1288">
        <f t="shared" si="23"/>
        <v>0</v>
      </c>
      <c r="DF737" s="1288"/>
      <c r="DG737" s="1288"/>
      <c r="DH737" s="1288"/>
      <c r="DI737" s="1288"/>
      <c r="DJ737" s="1288">
        <f t="shared" si="24"/>
        <v>0</v>
      </c>
      <c r="DK737" s="1288"/>
      <c r="DL737" s="1288"/>
      <c r="DM737" s="1288"/>
      <c r="DN737" s="1288"/>
      <c r="DO737" s="1288">
        <f t="shared" si="25"/>
        <v>0</v>
      </c>
      <c r="DP737" s="1288"/>
      <c r="DQ737" s="1288"/>
      <c r="DR737" s="1288"/>
      <c r="DS737" s="1288"/>
      <c r="DT737" s="6"/>
      <c r="DU737" s="1306">
        <f t="shared" si="26"/>
        <v>0</v>
      </c>
      <c r="DV737" s="1306"/>
      <c r="DW737" s="1306"/>
      <c r="DX737" s="1306"/>
      <c r="DY737" s="1306"/>
      <c r="DZ737" s="1306">
        <f t="shared" si="27"/>
        <v>0</v>
      </c>
      <c r="EA737" s="1306"/>
      <c r="EB737" s="1306"/>
      <c r="EC737" s="1306"/>
      <c r="ED737" s="1306"/>
      <c r="EE737" s="1306">
        <f t="shared" si="28"/>
        <v>0</v>
      </c>
      <c r="EF737" s="1306"/>
      <c r="EG737" s="1306"/>
      <c r="EH737" s="1306"/>
      <c r="EI737" s="1306"/>
      <c r="EJ737" s="1306">
        <f t="shared" si="29"/>
        <v>0</v>
      </c>
      <c r="EK737" s="1306"/>
      <c r="EL737" s="1306"/>
      <c r="EM737" s="1306"/>
      <c r="EN737" s="1306"/>
      <c r="EO737" s="1306">
        <f t="shared" si="30"/>
        <v>0</v>
      </c>
      <c r="EP737" s="1306"/>
      <c r="EQ737" s="1306"/>
      <c r="ER737" s="1306"/>
      <c r="ES737" s="1306"/>
      <c r="ET737" s="1306">
        <f t="shared" si="31"/>
        <v>0</v>
      </c>
      <c r="EU737" s="1306"/>
      <c r="EV737" s="1306"/>
      <c r="EW737" s="1306"/>
      <c r="EX737" s="1306"/>
      <c r="EZ737" s="1285" t="str">
        <f t="shared" si="32"/>
        <v/>
      </c>
      <c r="FA737" s="1286"/>
      <c r="FB737" s="1286"/>
      <c r="FC737" s="1286"/>
      <c r="FD737" s="1287"/>
      <c r="FE737" s="1285" t="str">
        <f t="shared" si="33"/>
        <v/>
      </c>
      <c r="FF737" s="1286"/>
      <c r="FG737" s="1286"/>
      <c r="FH737" s="1286"/>
      <c r="FI737" s="1287"/>
      <c r="FJ737" s="1285" t="str">
        <f t="shared" si="34"/>
        <v/>
      </c>
      <c r="FK737" s="1286"/>
      <c r="FL737" s="1286"/>
      <c r="FM737" s="1286"/>
      <c r="FN737" s="1287"/>
      <c r="FO737" s="1285" t="str">
        <f t="shared" si="35"/>
        <v/>
      </c>
      <c r="FP737" s="1286"/>
      <c r="FQ737" s="1286"/>
      <c r="FR737" s="1286"/>
      <c r="FS737" s="1287"/>
      <c r="FT737" s="1285" t="str">
        <f t="shared" si="36"/>
        <v/>
      </c>
      <c r="FU737" s="1286"/>
      <c r="FV737" s="1286"/>
      <c r="FW737" s="1286"/>
      <c r="FX737" s="1287"/>
      <c r="FY737" s="1285" t="str">
        <f t="shared" si="37"/>
        <v/>
      </c>
      <c r="FZ737" s="1286"/>
      <c r="GA737" s="1286"/>
      <c r="GB737" s="1286"/>
      <c r="GC737" s="1287"/>
    </row>
    <row r="738" spans="1:185" ht="12.95" customHeight="1">
      <c r="B738" s="1290"/>
      <c r="C738" s="1291"/>
      <c r="D738" s="1291"/>
      <c r="E738" s="1291"/>
      <c r="F738" s="1292"/>
      <c r="G738" s="1518"/>
      <c r="H738" s="1519"/>
      <c r="I738" s="1519"/>
      <c r="J738" s="1520"/>
      <c r="K738" s="1525"/>
      <c r="L738" s="1526"/>
      <c r="M738" s="1526"/>
      <c r="N738" s="1527"/>
      <c r="O738" s="1296"/>
      <c r="P738" s="1297"/>
      <c r="Q738" s="1297"/>
      <c r="R738" s="1297"/>
      <c r="S738" s="1298"/>
      <c r="T738" s="1296"/>
      <c r="U738" s="1297"/>
      <c r="V738" s="1297"/>
      <c r="W738" s="1298"/>
      <c r="X738" s="1299">
        <f t="shared" si="10"/>
        <v>0</v>
      </c>
      <c r="Y738" s="1300"/>
      <c r="Z738" s="1300"/>
      <c r="AA738" s="1300"/>
      <c r="AB738" s="1301"/>
      <c r="AC738" s="1293"/>
      <c r="AD738" s="1294"/>
      <c r="AE738" s="1294"/>
      <c r="AF738" s="1294"/>
      <c r="AG738" s="1295"/>
      <c r="AH738" s="1302" t="str">
        <f t="shared" si="38"/>
        <v/>
      </c>
      <c r="AI738" s="1303"/>
      <c r="AJ738" s="1304"/>
      <c r="AK738" s="1290" t="s">
        <v>591</v>
      </c>
      <c r="AL738" s="1291"/>
      <c r="AM738" s="1291"/>
      <c r="AN738" s="1291"/>
      <c r="AO738" s="1292"/>
      <c r="AP738" s="3"/>
      <c r="AQ738" s="3"/>
      <c r="AR738" s="3"/>
      <c r="AS738" s="3"/>
      <c r="AY738" s="1080"/>
      <c r="AZ738" s="118" t="str">
        <f t="shared" si="11"/>
        <v>N/A</v>
      </c>
      <c r="BA738" s="3"/>
      <c r="BB738" s="3"/>
      <c r="BC738" s="3"/>
      <c r="BD738" s="3"/>
      <c r="BE738" s="204"/>
      <c r="BF738" s="294">
        <f t="shared" si="12"/>
        <v>0</v>
      </c>
      <c r="BG738" s="297">
        <f t="shared" si="13"/>
        <v>0</v>
      </c>
      <c r="BH738" s="298" t="str">
        <f t="shared" si="14"/>
        <v/>
      </c>
      <c r="BI738" s="3"/>
      <c r="BJ738" s="3"/>
      <c r="BK738" s="3"/>
      <c r="BL738" s="3"/>
      <c r="BM738" s="3"/>
      <c r="BN738" s="3"/>
      <c r="BS738" s="294">
        <f t="shared" si="15"/>
        <v>0</v>
      </c>
      <c r="BT738" s="297">
        <f t="shared" si="16"/>
        <v>0</v>
      </c>
      <c r="BU738" s="298" t="str">
        <f t="shared" si="17"/>
        <v/>
      </c>
      <c r="BV738" s="3"/>
      <c r="BW738" s="3"/>
      <c r="BX738" s="3"/>
      <c r="BY738" s="3"/>
      <c r="BZ738" s="3"/>
      <c r="CA738" s="3"/>
      <c r="CB738" s="3"/>
      <c r="CC738" s="3"/>
      <c r="CE738" s="3"/>
      <c r="CF738" s="3"/>
      <c r="CG738" s="1285">
        <f t="shared" si="39"/>
        <v>0</v>
      </c>
      <c r="CH738" s="1287"/>
      <c r="CI738" s="1269">
        <f t="shared" si="40"/>
        <v>0</v>
      </c>
      <c r="CJ738" s="1271"/>
      <c r="CK738" s="1285">
        <f t="shared" si="18"/>
        <v>0</v>
      </c>
      <c r="CL738" s="1287"/>
      <c r="CM738" s="1269">
        <f t="shared" si="19"/>
        <v>0</v>
      </c>
      <c r="CN738" s="1271"/>
      <c r="CO738" s="3"/>
      <c r="CP738" s="1266">
        <f t="shared" si="20"/>
        <v>0</v>
      </c>
      <c r="CQ738" s="1267"/>
      <c r="CR738" s="1267"/>
      <c r="CS738" s="1267"/>
      <c r="CT738" s="1268"/>
      <c r="CU738" s="1288">
        <f t="shared" si="21"/>
        <v>0</v>
      </c>
      <c r="CV738" s="1288"/>
      <c r="CW738" s="1288"/>
      <c r="CX738" s="1288"/>
      <c r="CY738" s="1288"/>
      <c r="CZ738" s="1288">
        <f t="shared" si="22"/>
        <v>0</v>
      </c>
      <c r="DA738" s="1288"/>
      <c r="DB738" s="1288"/>
      <c r="DC738" s="1288"/>
      <c r="DD738" s="1288"/>
      <c r="DE738" s="1288">
        <f t="shared" si="23"/>
        <v>0</v>
      </c>
      <c r="DF738" s="1288"/>
      <c r="DG738" s="1288"/>
      <c r="DH738" s="1288"/>
      <c r="DI738" s="1288"/>
      <c r="DJ738" s="1288">
        <f t="shared" si="24"/>
        <v>0</v>
      </c>
      <c r="DK738" s="1288"/>
      <c r="DL738" s="1288"/>
      <c r="DM738" s="1288"/>
      <c r="DN738" s="1288"/>
      <c r="DO738" s="1288">
        <f t="shared" si="25"/>
        <v>0</v>
      </c>
      <c r="DP738" s="1288"/>
      <c r="DQ738" s="1288"/>
      <c r="DR738" s="1288"/>
      <c r="DS738" s="1288"/>
      <c r="DT738" s="6"/>
      <c r="DU738" s="1306">
        <f t="shared" si="26"/>
        <v>0</v>
      </c>
      <c r="DV738" s="1306"/>
      <c r="DW738" s="1306"/>
      <c r="DX738" s="1306"/>
      <c r="DY738" s="1306"/>
      <c r="DZ738" s="1306">
        <f t="shared" si="27"/>
        <v>0</v>
      </c>
      <c r="EA738" s="1306"/>
      <c r="EB738" s="1306"/>
      <c r="EC738" s="1306"/>
      <c r="ED738" s="1306"/>
      <c r="EE738" s="1306">
        <f t="shared" si="28"/>
        <v>0</v>
      </c>
      <c r="EF738" s="1306"/>
      <c r="EG738" s="1306"/>
      <c r="EH738" s="1306"/>
      <c r="EI738" s="1306"/>
      <c r="EJ738" s="1306">
        <f t="shared" si="29"/>
        <v>0</v>
      </c>
      <c r="EK738" s="1306"/>
      <c r="EL738" s="1306"/>
      <c r="EM738" s="1306"/>
      <c r="EN738" s="1306"/>
      <c r="EO738" s="1306">
        <f t="shared" si="30"/>
        <v>0</v>
      </c>
      <c r="EP738" s="1306"/>
      <c r="EQ738" s="1306"/>
      <c r="ER738" s="1306"/>
      <c r="ES738" s="1306"/>
      <c r="ET738" s="1306">
        <f t="shared" si="31"/>
        <v>0</v>
      </c>
      <c r="EU738" s="1306"/>
      <c r="EV738" s="1306"/>
      <c r="EW738" s="1306"/>
      <c r="EX738" s="1306"/>
      <c r="EZ738" s="1285" t="str">
        <f t="shared" si="32"/>
        <v/>
      </c>
      <c r="FA738" s="1286"/>
      <c r="FB738" s="1286"/>
      <c r="FC738" s="1286"/>
      <c r="FD738" s="1287"/>
      <c r="FE738" s="1285" t="str">
        <f t="shared" si="33"/>
        <v/>
      </c>
      <c r="FF738" s="1286"/>
      <c r="FG738" s="1286"/>
      <c r="FH738" s="1286"/>
      <c r="FI738" s="1287"/>
      <c r="FJ738" s="1285" t="str">
        <f t="shared" si="34"/>
        <v/>
      </c>
      <c r="FK738" s="1286"/>
      <c r="FL738" s="1286"/>
      <c r="FM738" s="1286"/>
      <c r="FN738" s="1287"/>
      <c r="FO738" s="1285" t="str">
        <f t="shared" si="35"/>
        <v/>
      </c>
      <c r="FP738" s="1286"/>
      <c r="FQ738" s="1286"/>
      <c r="FR738" s="1286"/>
      <c r="FS738" s="1287"/>
      <c r="FT738" s="1285" t="str">
        <f t="shared" si="36"/>
        <v/>
      </c>
      <c r="FU738" s="1286"/>
      <c r="FV738" s="1286"/>
      <c r="FW738" s="1286"/>
      <c r="FX738" s="1287"/>
      <c r="FY738" s="1285" t="str">
        <f t="shared" si="37"/>
        <v/>
      </c>
      <c r="FZ738" s="1286"/>
      <c r="GA738" s="1286"/>
      <c r="GB738" s="1286"/>
      <c r="GC738" s="1287"/>
    </row>
    <row r="739" spans="1:185" ht="12.95" customHeight="1">
      <c r="B739" s="1290"/>
      <c r="C739" s="1291"/>
      <c r="D739" s="1291"/>
      <c r="E739" s="1291"/>
      <c r="F739" s="1292"/>
      <c r="G739" s="1518"/>
      <c r="H739" s="1519"/>
      <c r="I739" s="1519"/>
      <c r="J739" s="1520"/>
      <c r="K739" s="1525"/>
      <c r="L739" s="1526"/>
      <c r="M739" s="1526"/>
      <c r="N739" s="1527"/>
      <c r="O739" s="1296"/>
      <c r="P739" s="1297"/>
      <c r="Q739" s="1297"/>
      <c r="R739" s="1297"/>
      <c r="S739" s="1298"/>
      <c r="T739" s="1296"/>
      <c r="U739" s="1297"/>
      <c r="V739" s="1297"/>
      <c r="W739" s="1298"/>
      <c r="X739" s="1299">
        <f t="shared" si="10"/>
        <v>0</v>
      </c>
      <c r="Y739" s="1300"/>
      <c r="Z739" s="1300"/>
      <c r="AA739" s="1300"/>
      <c r="AB739" s="1301"/>
      <c r="AC739" s="1293"/>
      <c r="AD739" s="1294"/>
      <c r="AE739" s="1294"/>
      <c r="AF739" s="1294"/>
      <c r="AG739" s="1295"/>
      <c r="AH739" s="1302" t="str">
        <f t="shared" si="38"/>
        <v/>
      </c>
      <c r="AI739" s="1303"/>
      <c r="AJ739" s="1304"/>
      <c r="AK739" s="1290" t="s">
        <v>591</v>
      </c>
      <c r="AL739" s="1291"/>
      <c r="AM739" s="1291"/>
      <c r="AN739" s="1291"/>
      <c r="AO739" s="1292"/>
      <c r="AP739" s="3"/>
      <c r="AQ739" s="3"/>
      <c r="AR739" s="3"/>
      <c r="AS739" s="3"/>
      <c r="AY739" s="1080"/>
      <c r="AZ739" s="118" t="str">
        <f t="shared" si="11"/>
        <v>N/A</v>
      </c>
      <c r="BA739" s="3"/>
      <c r="BB739" s="3"/>
      <c r="BC739" s="3"/>
      <c r="BD739" s="3"/>
      <c r="BE739" s="204"/>
      <c r="BF739" s="294">
        <f t="shared" si="12"/>
        <v>0</v>
      </c>
      <c r="BG739" s="297">
        <f t="shared" si="13"/>
        <v>0</v>
      </c>
      <c r="BH739" s="298" t="str">
        <f t="shared" si="14"/>
        <v/>
      </c>
      <c r="BI739" s="3"/>
      <c r="BJ739" s="3"/>
      <c r="BK739" s="3"/>
      <c r="BL739" s="3"/>
      <c r="BM739" s="3"/>
      <c r="BN739" s="3"/>
      <c r="BS739" s="294">
        <f t="shared" si="15"/>
        <v>0</v>
      </c>
      <c r="BT739" s="297">
        <f t="shared" si="16"/>
        <v>0</v>
      </c>
      <c r="BU739" s="298" t="str">
        <f t="shared" si="17"/>
        <v/>
      </c>
      <c r="BV739" s="3"/>
      <c r="BW739" s="3"/>
      <c r="BX739" s="3"/>
      <c r="BY739" s="3"/>
      <c r="BZ739" s="3"/>
      <c r="CA739" s="3"/>
      <c r="CB739" s="3"/>
      <c r="CC739" s="3"/>
      <c r="CE739" s="3"/>
      <c r="CF739" s="3"/>
      <c r="CG739" s="1285">
        <f t="shared" si="39"/>
        <v>0</v>
      </c>
      <c r="CH739" s="1287"/>
      <c r="CI739" s="1269">
        <f t="shared" si="40"/>
        <v>0</v>
      </c>
      <c r="CJ739" s="1271"/>
      <c r="CK739" s="1285">
        <f t="shared" si="18"/>
        <v>0</v>
      </c>
      <c r="CL739" s="1287"/>
      <c r="CM739" s="1269">
        <f t="shared" si="19"/>
        <v>0</v>
      </c>
      <c r="CN739" s="1271"/>
      <c r="CO739" s="3"/>
      <c r="CP739" s="1266">
        <f t="shared" si="20"/>
        <v>0</v>
      </c>
      <c r="CQ739" s="1267"/>
      <c r="CR739" s="1267"/>
      <c r="CS739" s="1267"/>
      <c r="CT739" s="1268"/>
      <c r="CU739" s="1288">
        <f t="shared" si="21"/>
        <v>0</v>
      </c>
      <c r="CV739" s="1288"/>
      <c r="CW739" s="1288"/>
      <c r="CX739" s="1288"/>
      <c r="CY739" s="1288"/>
      <c r="CZ739" s="1288">
        <f t="shared" si="22"/>
        <v>0</v>
      </c>
      <c r="DA739" s="1288"/>
      <c r="DB739" s="1288"/>
      <c r="DC739" s="1288"/>
      <c r="DD739" s="1288"/>
      <c r="DE739" s="1288">
        <f t="shared" si="23"/>
        <v>0</v>
      </c>
      <c r="DF739" s="1288"/>
      <c r="DG739" s="1288"/>
      <c r="DH739" s="1288"/>
      <c r="DI739" s="1288"/>
      <c r="DJ739" s="1288">
        <f t="shared" si="24"/>
        <v>0</v>
      </c>
      <c r="DK739" s="1288"/>
      <c r="DL739" s="1288"/>
      <c r="DM739" s="1288"/>
      <c r="DN739" s="1288"/>
      <c r="DO739" s="1288">
        <f t="shared" si="25"/>
        <v>0</v>
      </c>
      <c r="DP739" s="1288"/>
      <c r="DQ739" s="1288"/>
      <c r="DR739" s="1288"/>
      <c r="DS739" s="1288"/>
      <c r="DT739" s="6"/>
      <c r="DU739" s="1306">
        <f t="shared" si="26"/>
        <v>0</v>
      </c>
      <c r="DV739" s="1306"/>
      <c r="DW739" s="1306"/>
      <c r="DX739" s="1306"/>
      <c r="DY739" s="1306"/>
      <c r="DZ739" s="1306">
        <f t="shared" si="27"/>
        <v>0</v>
      </c>
      <c r="EA739" s="1306"/>
      <c r="EB739" s="1306"/>
      <c r="EC739" s="1306"/>
      <c r="ED739" s="1306"/>
      <c r="EE739" s="1306">
        <f t="shared" si="28"/>
        <v>0</v>
      </c>
      <c r="EF739" s="1306"/>
      <c r="EG739" s="1306"/>
      <c r="EH739" s="1306"/>
      <c r="EI739" s="1306"/>
      <c r="EJ739" s="1306">
        <f t="shared" si="29"/>
        <v>0</v>
      </c>
      <c r="EK739" s="1306"/>
      <c r="EL739" s="1306"/>
      <c r="EM739" s="1306"/>
      <c r="EN739" s="1306"/>
      <c r="EO739" s="1306">
        <f t="shared" si="30"/>
        <v>0</v>
      </c>
      <c r="EP739" s="1306"/>
      <c r="EQ739" s="1306"/>
      <c r="ER739" s="1306"/>
      <c r="ES739" s="1306"/>
      <c r="ET739" s="1306">
        <f t="shared" si="31"/>
        <v>0</v>
      </c>
      <c r="EU739" s="1306"/>
      <c r="EV739" s="1306"/>
      <c r="EW739" s="1306"/>
      <c r="EX739" s="1306"/>
      <c r="EZ739" s="1285" t="str">
        <f t="shared" si="32"/>
        <v/>
      </c>
      <c r="FA739" s="1286"/>
      <c r="FB739" s="1286"/>
      <c r="FC739" s="1286"/>
      <c r="FD739" s="1287"/>
      <c r="FE739" s="1285" t="str">
        <f t="shared" si="33"/>
        <v/>
      </c>
      <c r="FF739" s="1286"/>
      <c r="FG739" s="1286"/>
      <c r="FH739" s="1286"/>
      <c r="FI739" s="1287"/>
      <c r="FJ739" s="1285" t="str">
        <f t="shared" si="34"/>
        <v/>
      </c>
      <c r="FK739" s="1286"/>
      <c r="FL739" s="1286"/>
      <c r="FM739" s="1286"/>
      <c r="FN739" s="1287"/>
      <c r="FO739" s="1285" t="str">
        <f t="shared" si="35"/>
        <v/>
      </c>
      <c r="FP739" s="1286"/>
      <c r="FQ739" s="1286"/>
      <c r="FR739" s="1286"/>
      <c r="FS739" s="1287"/>
      <c r="FT739" s="1285" t="str">
        <f t="shared" si="36"/>
        <v/>
      </c>
      <c r="FU739" s="1286"/>
      <c r="FV739" s="1286"/>
      <c r="FW739" s="1286"/>
      <c r="FX739" s="1287"/>
      <c r="FY739" s="1285" t="str">
        <f t="shared" si="37"/>
        <v/>
      </c>
      <c r="FZ739" s="1286"/>
      <c r="GA739" s="1286"/>
      <c r="GB739" s="1286"/>
      <c r="GC739" s="1287"/>
    </row>
    <row r="740" spans="1:185" ht="12.95" customHeight="1">
      <c r="B740" s="1290"/>
      <c r="C740" s="1291"/>
      <c r="D740" s="1291"/>
      <c r="E740" s="1291"/>
      <c r="F740" s="1292"/>
      <c r="G740" s="1518"/>
      <c r="H740" s="1519"/>
      <c r="I740" s="1519"/>
      <c r="J740" s="1520"/>
      <c r="K740" s="1525"/>
      <c r="L740" s="1526"/>
      <c r="M740" s="1526"/>
      <c r="N740" s="1527"/>
      <c r="O740" s="1296"/>
      <c r="P740" s="1297"/>
      <c r="Q740" s="1297"/>
      <c r="R740" s="1297"/>
      <c r="S740" s="1298"/>
      <c r="T740" s="1296"/>
      <c r="U740" s="1297"/>
      <c r="V740" s="1297"/>
      <c r="W740" s="1298"/>
      <c r="X740" s="1299">
        <f t="shared" si="10"/>
        <v>0</v>
      </c>
      <c r="Y740" s="1300"/>
      <c r="Z740" s="1300"/>
      <c r="AA740" s="1300"/>
      <c r="AB740" s="1301"/>
      <c r="AC740" s="1293"/>
      <c r="AD740" s="1294"/>
      <c r="AE740" s="1294"/>
      <c r="AF740" s="1294"/>
      <c r="AG740" s="1295"/>
      <c r="AH740" s="1302" t="str">
        <f t="shared" si="38"/>
        <v/>
      </c>
      <c r="AI740" s="1303"/>
      <c r="AJ740" s="1304"/>
      <c r="AK740" s="1290" t="s">
        <v>591</v>
      </c>
      <c r="AL740" s="1291"/>
      <c r="AM740" s="1291"/>
      <c r="AN740" s="1291"/>
      <c r="AO740" s="1292"/>
      <c r="AP740" s="3"/>
      <c r="AQ740" s="3"/>
      <c r="AR740" s="3"/>
      <c r="AS740" s="3"/>
      <c r="AY740" s="1080"/>
      <c r="AZ740" s="118" t="str">
        <f t="shared" si="11"/>
        <v>N/A</v>
      </c>
      <c r="BA740" s="3"/>
      <c r="BB740" s="3"/>
      <c r="BC740" s="3"/>
      <c r="BD740" s="3"/>
      <c r="BE740" s="204"/>
      <c r="BF740" s="294">
        <f t="shared" si="12"/>
        <v>0</v>
      </c>
      <c r="BG740" s="297">
        <f t="shared" si="13"/>
        <v>0</v>
      </c>
      <c r="BH740" s="298" t="str">
        <f t="shared" si="14"/>
        <v/>
      </c>
      <c r="BI740" s="3"/>
      <c r="BJ740" s="3"/>
      <c r="BK740" s="3"/>
      <c r="BL740" s="3"/>
      <c r="BM740" s="3"/>
      <c r="BN740" s="3"/>
      <c r="BS740" s="294">
        <f t="shared" si="15"/>
        <v>0</v>
      </c>
      <c r="BT740" s="297">
        <f t="shared" si="16"/>
        <v>0</v>
      </c>
      <c r="BU740" s="298" t="str">
        <f t="shared" si="17"/>
        <v/>
      </c>
      <c r="BV740" s="3"/>
      <c r="BW740" s="3"/>
      <c r="BX740" s="3"/>
      <c r="BY740" s="3"/>
      <c r="BZ740" s="3"/>
      <c r="CA740" s="3"/>
      <c r="CB740" s="3"/>
      <c r="CC740" s="3"/>
      <c r="CE740" s="3"/>
      <c r="CF740" s="3"/>
      <c r="CG740" s="1285">
        <f t="shared" si="39"/>
        <v>0</v>
      </c>
      <c r="CH740" s="1287"/>
      <c r="CI740" s="1269">
        <f t="shared" si="40"/>
        <v>0</v>
      </c>
      <c r="CJ740" s="1271"/>
      <c r="CK740" s="1285">
        <f t="shared" si="18"/>
        <v>0</v>
      </c>
      <c r="CL740" s="1287"/>
      <c r="CM740" s="1269">
        <f t="shared" si="19"/>
        <v>0</v>
      </c>
      <c r="CN740" s="1271"/>
      <c r="CO740" s="3"/>
      <c r="CP740" s="1266">
        <f t="shared" si="20"/>
        <v>0</v>
      </c>
      <c r="CQ740" s="1267"/>
      <c r="CR740" s="1267"/>
      <c r="CS740" s="1267"/>
      <c r="CT740" s="1268"/>
      <c r="CU740" s="1288">
        <f t="shared" si="21"/>
        <v>0</v>
      </c>
      <c r="CV740" s="1288"/>
      <c r="CW740" s="1288"/>
      <c r="CX740" s="1288"/>
      <c r="CY740" s="1288"/>
      <c r="CZ740" s="1288">
        <f t="shared" si="22"/>
        <v>0</v>
      </c>
      <c r="DA740" s="1288"/>
      <c r="DB740" s="1288"/>
      <c r="DC740" s="1288"/>
      <c r="DD740" s="1288"/>
      <c r="DE740" s="1288">
        <f t="shared" si="23"/>
        <v>0</v>
      </c>
      <c r="DF740" s="1288"/>
      <c r="DG740" s="1288"/>
      <c r="DH740" s="1288"/>
      <c r="DI740" s="1288"/>
      <c r="DJ740" s="1288">
        <f t="shared" si="24"/>
        <v>0</v>
      </c>
      <c r="DK740" s="1288"/>
      <c r="DL740" s="1288"/>
      <c r="DM740" s="1288"/>
      <c r="DN740" s="1288"/>
      <c r="DO740" s="1288">
        <f t="shared" si="25"/>
        <v>0</v>
      </c>
      <c r="DP740" s="1288"/>
      <c r="DQ740" s="1288"/>
      <c r="DR740" s="1288"/>
      <c r="DS740" s="1288"/>
      <c r="DT740" s="6"/>
      <c r="DU740" s="1306">
        <f t="shared" si="26"/>
        <v>0</v>
      </c>
      <c r="DV740" s="1306"/>
      <c r="DW740" s="1306"/>
      <c r="DX740" s="1306"/>
      <c r="DY740" s="1306"/>
      <c r="DZ740" s="1306">
        <f t="shared" si="27"/>
        <v>0</v>
      </c>
      <c r="EA740" s="1306"/>
      <c r="EB740" s="1306"/>
      <c r="EC740" s="1306"/>
      <c r="ED740" s="1306"/>
      <c r="EE740" s="1306">
        <f t="shared" si="28"/>
        <v>0</v>
      </c>
      <c r="EF740" s="1306"/>
      <c r="EG740" s="1306"/>
      <c r="EH740" s="1306"/>
      <c r="EI740" s="1306"/>
      <c r="EJ740" s="1306">
        <f t="shared" si="29"/>
        <v>0</v>
      </c>
      <c r="EK740" s="1306"/>
      <c r="EL740" s="1306"/>
      <c r="EM740" s="1306"/>
      <c r="EN740" s="1306"/>
      <c r="EO740" s="1306">
        <f t="shared" si="30"/>
        <v>0</v>
      </c>
      <c r="EP740" s="1306"/>
      <c r="EQ740" s="1306"/>
      <c r="ER740" s="1306"/>
      <c r="ES740" s="1306"/>
      <c r="ET740" s="1306">
        <f t="shared" si="31"/>
        <v>0</v>
      </c>
      <c r="EU740" s="1306"/>
      <c r="EV740" s="1306"/>
      <c r="EW740" s="1306"/>
      <c r="EX740" s="1306"/>
      <c r="EZ740" s="1285" t="str">
        <f t="shared" si="32"/>
        <v/>
      </c>
      <c r="FA740" s="1286"/>
      <c r="FB740" s="1286"/>
      <c r="FC740" s="1286"/>
      <c r="FD740" s="1287"/>
      <c r="FE740" s="1285" t="str">
        <f t="shared" si="33"/>
        <v/>
      </c>
      <c r="FF740" s="1286"/>
      <c r="FG740" s="1286"/>
      <c r="FH740" s="1286"/>
      <c r="FI740" s="1287"/>
      <c r="FJ740" s="1285" t="str">
        <f t="shared" si="34"/>
        <v/>
      </c>
      <c r="FK740" s="1286"/>
      <c r="FL740" s="1286"/>
      <c r="FM740" s="1286"/>
      <c r="FN740" s="1287"/>
      <c r="FO740" s="1285" t="str">
        <f t="shared" si="35"/>
        <v/>
      </c>
      <c r="FP740" s="1286"/>
      <c r="FQ740" s="1286"/>
      <c r="FR740" s="1286"/>
      <c r="FS740" s="1287"/>
      <c r="FT740" s="1285" t="str">
        <f t="shared" si="36"/>
        <v/>
      </c>
      <c r="FU740" s="1286"/>
      <c r="FV740" s="1286"/>
      <c r="FW740" s="1286"/>
      <c r="FX740" s="1287"/>
      <c r="FY740" s="1285" t="str">
        <f t="shared" si="37"/>
        <v/>
      </c>
      <c r="FZ740" s="1286"/>
      <c r="GA740" s="1286"/>
      <c r="GB740" s="1286"/>
      <c r="GC740" s="1287"/>
    </row>
    <row r="741" spans="1:185" ht="12.95" customHeight="1">
      <c r="B741" s="1290"/>
      <c r="C741" s="1291"/>
      <c r="D741" s="1291"/>
      <c r="E741" s="1291"/>
      <c r="F741" s="1292"/>
      <c r="G741" s="1518"/>
      <c r="H741" s="1519"/>
      <c r="I741" s="1519"/>
      <c r="J741" s="1520"/>
      <c r="K741" s="1525"/>
      <c r="L741" s="1526"/>
      <c r="M741" s="1526"/>
      <c r="N741" s="1527"/>
      <c r="O741" s="1296"/>
      <c r="P741" s="1297"/>
      <c r="Q741" s="1297"/>
      <c r="R741" s="1297"/>
      <c r="S741" s="1298"/>
      <c r="T741" s="1296"/>
      <c r="U741" s="1297"/>
      <c r="V741" s="1297"/>
      <c r="W741" s="1298"/>
      <c r="X741" s="1299">
        <f t="shared" si="10"/>
        <v>0</v>
      </c>
      <c r="Y741" s="1300"/>
      <c r="Z741" s="1300"/>
      <c r="AA741" s="1300"/>
      <c r="AB741" s="1301"/>
      <c r="AC741" s="1293"/>
      <c r="AD741" s="1294"/>
      <c r="AE741" s="1294"/>
      <c r="AF741" s="1294"/>
      <c r="AG741" s="1295"/>
      <c r="AH741" s="1302" t="str">
        <f t="shared" si="38"/>
        <v/>
      </c>
      <c r="AI741" s="1303"/>
      <c r="AJ741" s="1304"/>
      <c r="AK741" s="1290" t="s">
        <v>591</v>
      </c>
      <c r="AL741" s="1291"/>
      <c r="AM741" s="1291"/>
      <c r="AN741" s="1291"/>
      <c r="AO741" s="1292"/>
      <c r="AP741" s="3"/>
      <c r="AQ741" s="3"/>
      <c r="AR741" s="3"/>
      <c r="AS741" s="3"/>
      <c r="AY741" s="1080"/>
      <c r="AZ741" s="118" t="str">
        <f t="shared" si="11"/>
        <v>N/A</v>
      </c>
      <c r="BA741" s="3"/>
      <c r="BB741" s="3"/>
      <c r="BC741" s="3"/>
      <c r="BD741" s="3"/>
      <c r="BE741" s="204"/>
      <c r="BF741" s="294">
        <f t="shared" si="12"/>
        <v>0</v>
      </c>
      <c r="BG741" s="297">
        <f t="shared" si="13"/>
        <v>0</v>
      </c>
      <c r="BH741" s="298" t="str">
        <f t="shared" si="14"/>
        <v/>
      </c>
      <c r="BI741" s="3"/>
      <c r="BJ741" s="3"/>
      <c r="BK741" s="3"/>
      <c r="BL741" s="3"/>
      <c r="BM741" s="3"/>
      <c r="BN741" s="3"/>
      <c r="BS741" s="294">
        <f t="shared" si="15"/>
        <v>0</v>
      </c>
      <c r="BT741" s="297">
        <f t="shared" si="16"/>
        <v>0</v>
      </c>
      <c r="BU741" s="298" t="str">
        <f t="shared" si="17"/>
        <v/>
      </c>
      <c r="BV741" s="3"/>
      <c r="BW741" s="3"/>
      <c r="BX741" s="3"/>
      <c r="BY741" s="3"/>
      <c r="BZ741" s="3"/>
      <c r="CA741" s="3"/>
      <c r="CB741" s="3"/>
      <c r="CC741" s="3"/>
      <c r="CE741" s="3"/>
      <c r="CF741" s="3"/>
      <c r="CG741" s="1285">
        <f t="shared" si="39"/>
        <v>0</v>
      </c>
      <c r="CH741" s="1287"/>
      <c r="CI741" s="1269">
        <f t="shared" si="40"/>
        <v>0</v>
      </c>
      <c r="CJ741" s="1271"/>
      <c r="CK741" s="1285">
        <f t="shared" si="18"/>
        <v>0</v>
      </c>
      <c r="CL741" s="1287"/>
      <c r="CM741" s="1269">
        <f t="shared" si="19"/>
        <v>0</v>
      </c>
      <c r="CN741" s="1271"/>
      <c r="CO741" s="3"/>
      <c r="CP741" s="1266">
        <f t="shared" si="20"/>
        <v>0</v>
      </c>
      <c r="CQ741" s="1267"/>
      <c r="CR741" s="1267"/>
      <c r="CS741" s="1267"/>
      <c r="CT741" s="1268"/>
      <c r="CU741" s="1288">
        <f t="shared" si="21"/>
        <v>0</v>
      </c>
      <c r="CV741" s="1288"/>
      <c r="CW741" s="1288"/>
      <c r="CX741" s="1288"/>
      <c r="CY741" s="1288"/>
      <c r="CZ741" s="1288">
        <f t="shared" si="22"/>
        <v>0</v>
      </c>
      <c r="DA741" s="1288"/>
      <c r="DB741" s="1288"/>
      <c r="DC741" s="1288"/>
      <c r="DD741" s="1288"/>
      <c r="DE741" s="1288">
        <f t="shared" si="23"/>
        <v>0</v>
      </c>
      <c r="DF741" s="1288"/>
      <c r="DG741" s="1288"/>
      <c r="DH741" s="1288"/>
      <c r="DI741" s="1288"/>
      <c r="DJ741" s="1288">
        <f t="shared" si="24"/>
        <v>0</v>
      </c>
      <c r="DK741" s="1288"/>
      <c r="DL741" s="1288"/>
      <c r="DM741" s="1288"/>
      <c r="DN741" s="1288"/>
      <c r="DO741" s="1288">
        <f t="shared" si="25"/>
        <v>0</v>
      </c>
      <c r="DP741" s="1288"/>
      <c r="DQ741" s="1288"/>
      <c r="DR741" s="1288"/>
      <c r="DS741" s="1288"/>
      <c r="DT741" s="6"/>
      <c r="DU741" s="1306">
        <f t="shared" si="26"/>
        <v>0</v>
      </c>
      <c r="DV741" s="1306"/>
      <c r="DW741" s="1306"/>
      <c r="DX741" s="1306"/>
      <c r="DY741" s="1306"/>
      <c r="DZ741" s="1306">
        <f t="shared" si="27"/>
        <v>0</v>
      </c>
      <c r="EA741" s="1306"/>
      <c r="EB741" s="1306"/>
      <c r="EC741" s="1306"/>
      <c r="ED741" s="1306"/>
      <c r="EE741" s="1306">
        <f t="shared" si="28"/>
        <v>0</v>
      </c>
      <c r="EF741" s="1306"/>
      <c r="EG741" s="1306"/>
      <c r="EH741" s="1306"/>
      <c r="EI741" s="1306"/>
      <c r="EJ741" s="1306">
        <f t="shared" si="29"/>
        <v>0</v>
      </c>
      <c r="EK741" s="1306"/>
      <c r="EL741" s="1306"/>
      <c r="EM741" s="1306"/>
      <c r="EN741" s="1306"/>
      <c r="EO741" s="1306">
        <f t="shared" si="30"/>
        <v>0</v>
      </c>
      <c r="EP741" s="1306"/>
      <c r="EQ741" s="1306"/>
      <c r="ER741" s="1306"/>
      <c r="ES741" s="1306"/>
      <c r="ET741" s="1306">
        <f t="shared" si="31"/>
        <v>0</v>
      </c>
      <c r="EU741" s="1306"/>
      <c r="EV741" s="1306"/>
      <c r="EW741" s="1306"/>
      <c r="EX741" s="1306"/>
      <c r="EZ741" s="1285" t="str">
        <f t="shared" si="32"/>
        <v/>
      </c>
      <c r="FA741" s="1286"/>
      <c r="FB741" s="1286"/>
      <c r="FC741" s="1286"/>
      <c r="FD741" s="1287"/>
      <c r="FE741" s="1285" t="str">
        <f t="shared" si="33"/>
        <v/>
      </c>
      <c r="FF741" s="1286"/>
      <c r="FG741" s="1286"/>
      <c r="FH741" s="1286"/>
      <c r="FI741" s="1287"/>
      <c r="FJ741" s="1285" t="str">
        <f t="shared" si="34"/>
        <v/>
      </c>
      <c r="FK741" s="1286"/>
      <c r="FL741" s="1286"/>
      <c r="FM741" s="1286"/>
      <c r="FN741" s="1287"/>
      <c r="FO741" s="1285" t="str">
        <f t="shared" si="35"/>
        <v/>
      </c>
      <c r="FP741" s="1286"/>
      <c r="FQ741" s="1286"/>
      <c r="FR741" s="1286"/>
      <c r="FS741" s="1287"/>
      <c r="FT741" s="1285" t="str">
        <f t="shared" si="36"/>
        <v/>
      </c>
      <c r="FU741" s="1286"/>
      <c r="FV741" s="1286"/>
      <c r="FW741" s="1286"/>
      <c r="FX741" s="1287"/>
      <c r="FY741" s="1285" t="str">
        <f t="shared" si="37"/>
        <v/>
      </c>
      <c r="FZ741" s="1286"/>
      <c r="GA741" s="1286"/>
      <c r="GB741" s="1286"/>
      <c r="GC741" s="1287"/>
    </row>
    <row r="742" spans="1:185" ht="12.95" customHeight="1">
      <c r="B742" s="1290"/>
      <c r="C742" s="1291"/>
      <c r="D742" s="1291"/>
      <c r="E742" s="1291"/>
      <c r="F742" s="1292"/>
      <c r="G742" s="1518"/>
      <c r="H742" s="1519"/>
      <c r="I742" s="1519"/>
      <c r="J742" s="1520"/>
      <c r="K742" s="1525"/>
      <c r="L742" s="1526"/>
      <c r="M742" s="1526"/>
      <c r="N742" s="1527"/>
      <c r="O742" s="1296"/>
      <c r="P742" s="1297"/>
      <c r="Q742" s="1297"/>
      <c r="R742" s="1297"/>
      <c r="S742" s="1298"/>
      <c r="T742" s="1296"/>
      <c r="U742" s="1297"/>
      <c r="V742" s="1297"/>
      <c r="W742" s="1298"/>
      <c r="X742" s="1299">
        <f t="shared" si="10"/>
        <v>0</v>
      </c>
      <c r="Y742" s="1300"/>
      <c r="Z742" s="1300"/>
      <c r="AA742" s="1300"/>
      <c r="AB742" s="1301"/>
      <c r="AC742" s="1293"/>
      <c r="AD742" s="1294"/>
      <c r="AE742" s="1294"/>
      <c r="AF742" s="1294"/>
      <c r="AG742" s="1295"/>
      <c r="AH742" s="1302" t="str">
        <f t="shared" si="38"/>
        <v/>
      </c>
      <c r="AI742" s="1303"/>
      <c r="AJ742" s="1304"/>
      <c r="AK742" s="1290" t="s">
        <v>591</v>
      </c>
      <c r="AL742" s="1291"/>
      <c r="AM742" s="1291"/>
      <c r="AN742" s="1291"/>
      <c r="AO742" s="1292"/>
      <c r="AP742" s="3"/>
      <c r="AQ742" s="3"/>
      <c r="AR742" s="3"/>
      <c r="AS742" s="3"/>
      <c r="AY742" s="1080"/>
      <c r="AZ742" s="118" t="str">
        <f t="shared" si="11"/>
        <v>N/A</v>
      </c>
      <c r="BA742" s="3"/>
      <c r="BB742" s="3"/>
      <c r="BC742" s="3"/>
      <c r="BD742" s="3"/>
      <c r="BE742" s="204"/>
      <c r="BF742" s="294">
        <f t="shared" si="12"/>
        <v>0</v>
      </c>
      <c r="BG742" s="297">
        <f t="shared" si="13"/>
        <v>0</v>
      </c>
      <c r="BH742" s="298" t="str">
        <f t="shared" si="14"/>
        <v/>
      </c>
      <c r="BI742" s="3"/>
      <c r="BJ742" s="3"/>
      <c r="BK742" s="3"/>
      <c r="BL742" s="3"/>
      <c r="BM742" s="3"/>
      <c r="BN742" s="3"/>
      <c r="BS742" s="294">
        <f t="shared" si="15"/>
        <v>0</v>
      </c>
      <c r="BT742" s="297">
        <f t="shared" si="16"/>
        <v>0</v>
      </c>
      <c r="BU742" s="298" t="str">
        <f t="shared" si="17"/>
        <v/>
      </c>
      <c r="BV742" s="3"/>
      <c r="BW742" s="3"/>
      <c r="BX742" s="3"/>
      <c r="BY742" s="3"/>
      <c r="BZ742" s="3"/>
      <c r="CA742" s="3"/>
      <c r="CB742" s="3"/>
      <c r="CC742" s="3"/>
      <c r="CE742" s="3"/>
      <c r="CF742" s="3"/>
      <c r="CG742" s="1285">
        <f t="shared" si="39"/>
        <v>0</v>
      </c>
      <c r="CH742" s="1287"/>
      <c r="CI742" s="1269">
        <f t="shared" si="40"/>
        <v>0</v>
      </c>
      <c r="CJ742" s="1271"/>
      <c r="CK742" s="1285">
        <f t="shared" si="18"/>
        <v>0</v>
      </c>
      <c r="CL742" s="1287"/>
      <c r="CM742" s="1269">
        <f t="shared" si="19"/>
        <v>0</v>
      </c>
      <c r="CN742" s="1271"/>
      <c r="CO742" s="3"/>
      <c r="CP742" s="1266">
        <f t="shared" si="20"/>
        <v>0</v>
      </c>
      <c r="CQ742" s="1267"/>
      <c r="CR742" s="1267"/>
      <c r="CS742" s="1267"/>
      <c r="CT742" s="1268"/>
      <c r="CU742" s="1288">
        <f t="shared" si="21"/>
        <v>0</v>
      </c>
      <c r="CV742" s="1288"/>
      <c r="CW742" s="1288"/>
      <c r="CX742" s="1288"/>
      <c r="CY742" s="1288"/>
      <c r="CZ742" s="1288">
        <f t="shared" si="22"/>
        <v>0</v>
      </c>
      <c r="DA742" s="1288"/>
      <c r="DB742" s="1288"/>
      <c r="DC742" s="1288"/>
      <c r="DD742" s="1288"/>
      <c r="DE742" s="1288">
        <f t="shared" si="23"/>
        <v>0</v>
      </c>
      <c r="DF742" s="1288"/>
      <c r="DG742" s="1288"/>
      <c r="DH742" s="1288"/>
      <c r="DI742" s="1288"/>
      <c r="DJ742" s="1288">
        <f t="shared" si="24"/>
        <v>0</v>
      </c>
      <c r="DK742" s="1288"/>
      <c r="DL742" s="1288"/>
      <c r="DM742" s="1288"/>
      <c r="DN742" s="1288"/>
      <c r="DO742" s="1288">
        <f t="shared" si="25"/>
        <v>0</v>
      </c>
      <c r="DP742" s="1288"/>
      <c r="DQ742" s="1288"/>
      <c r="DR742" s="1288"/>
      <c r="DS742" s="1288"/>
      <c r="DT742" s="6"/>
      <c r="DU742" s="1306">
        <f t="shared" si="26"/>
        <v>0</v>
      </c>
      <c r="DV742" s="1306"/>
      <c r="DW742" s="1306"/>
      <c r="DX742" s="1306"/>
      <c r="DY742" s="1306"/>
      <c r="DZ742" s="1306">
        <f t="shared" si="27"/>
        <v>0</v>
      </c>
      <c r="EA742" s="1306"/>
      <c r="EB742" s="1306"/>
      <c r="EC742" s="1306"/>
      <c r="ED742" s="1306"/>
      <c r="EE742" s="1306">
        <f t="shared" si="28"/>
        <v>0</v>
      </c>
      <c r="EF742" s="1306"/>
      <c r="EG742" s="1306"/>
      <c r="EH742" s="1306"/>
      <c r="EI742" s="1306"/>
      <c r="EJ742" s="1306">
        <f t="shared" si="29"/>
        <v>0</v>
      </c>
      <c r="EK742" s="1306"/>
      <c r="EL742" s="1306"/>
      <c r="EM742" s="1306"/>
      <c r="EN742" s="1306"/>
      <c r="EO742" s="1306">
        <f t="shared" si="30"/>
        <v>0</v>
      </c>
      <c r="EP742" s="1306"/>
      <c r="EQ742" s="1306"/>
      <c r="ER742" s="1306"/>
      <c r="ES742" s="1306"/>
      <c r="ET742" s="1306">
        <f t="shared" si="31"/>
        <v>0</v>
      </c>
      <c r="EU742" s="1306"/>
      <c r="EV742" s="1306"/>
      <c r="EW742" s="1306"/>
      <c r="EX742" s="1306"/>
      <c r="EZ742" s="1285" t="str">
        <f t="shared" si="32"/>
        <v/>
      </c>
      <c r="FA742" s="1286"/>
      <c r="FB742" s="1286"/>
      <c r="FC742" s="1286"/>
      <c r="FD742" s="1287"/>
      <c r="FE742" s="1285" t="str">
        <f t="shared" si="33"/>
        <v/>
      </c>
      <c r="FF742" s="1286"/>
      <c r="FG742" s="1286"/>
      <c r="FH742" s="1286"/>
      <c r="FI742" s="1287"/>
      <c r="FJ742" s="1285" t="str">
        <f t="shared" si="34"/>
        <v/>
      </c>
      <c r="FK742" s="1286"/>
      <c r="FL742" s="1286"/>
      <c r="FM742" s="1286"/>
      <c r="FN742" s="1287"/>
      <c r="FO742" s="1285" t="str">
        <f t="shared" si="35"/>
        <v/>
      </c>
      <c r="FP742" s="1286"/>
      <c r="FQ742" s="1286"/>
      <c r="FR742" s="1286"/>
      <c r="FS742" s="1287"/>
      <c r="FT742" s="1285" t="str">
        <f t="shared" si="36"/>
        <v/>
      </c>
      <c r="FU742" s="1286"/>
      <c r="FV742" s="1286"/>
      <c r="FW742" s="1286"/>
      <c r="FX742" s="1287"/>
      <c r="FY742" s="1285" t="str">
        <f t="shared" si="37"/>
        <v/>
      </c>
      <c r="FZ742" s="1286"/>
      <c r="GA742" s="1286"/>
      <c r="GB742" s="1286"/>
      <c r="GC742" s="1287"/>
    </row>
    <row r="743" spans="1:185" ht="12.95" customHeight="1">
      <c r="B743" s="1290"/>
      <c r="C743" s="1291"/>
      <c r="D743" s="1291"/>
      <c r="E743" s="1291"/>
      <c r="F743" s="1292"/>
      <c r="G743" s="1518"/>
      <c r="H743" s="1519"/>
      <c r="I743" s="1519"/>
      <c r="J743" s="1520"/>
      <c r="K743" s="1525"/>
      <c r="L743" s="1526"/>
      <c r="M743" s="1526"/>
      <c r="N743" s="1527"/>
      <c r="O743" s="1296"/>
      <c r="P743" s="1297"/>
      <c r="Q743" s="1297"/>
      <c r="R743" s="1297"/>
      <c r="S743" s="1298"/>
      <c r="T743" s="1296"/>
      <c r="U743" s="1297"/>
      <c r="V743" s="1297"/>
      <c r="W743" s="1298"/>
      <c r="X743" s="1299">
        <f t="shared" si="10"/>
        <v>0</v>
      </c>
      <c r="Y743" s="1300"/>
      <c r="Z743" s="1300"/>
      <c r="AA743" s="1300"/>
      <c r="AB743" s="1301"/>
      <c r="AC743" s="1293"/>
      <c r="AD743" s="1294"/>
      <c r="AE743" s="1294"/>
      <c r="AF743" s="1294"/>
      <c r="AG743" s="1295"/>
      <c r="AH743" s="1302" t="str">
        <f t="shared" si="38"/>
        <v/>
      </c>
      <c r="AI743" s="1303"/>
      <c r="AJ743" s="1304"/>
      <c r="AK743" s="1290" t="s">
        <v>591</v>
      </c>
      <c r="AL743" s="1291"/>
      <c r="AM743" s="1291"/>
      <c r="AN743" s="1291"/>
      <c r="AO743" s="1292"/>
      <c r="AP743" s="3"/>
      <c r="AQ743" s="3"/>
      <c r="AR743" s="3"/>
      <c r="AS743" s="3"/>
      <c r="AY743" s="1080"/>
      <c r="AZ743" s="118" t="str">
        <f t="shared" si="11"/>
        <v>N/A</v>
      </c>
      <c r="BA743" s="3"/>
      <c r="BB743" s="3"/>
      <c r="BC743" s="3"/>
      <c r="BD743" s="3"/>
      <c r="BE743" s="204"/>
      <c r="BF743" s="294">
        <f t="shared" si="12"/>
        <v>0</v>
      </c>
      <c r="BG743" s="297">
        <f t="shared" si="13"/>
        <v>0</v>
      </c>
      <c r="BH743" s="298" t="str">
        <f t="shared" si="14"/>
        <v/>
      </c>
      <c r="BI743" s="3"/>
      <c r="BJ743" s="3"/>
      <c r="BK743" s="3"/>
      <c r="BL743" s="3"/>
      <c r="BM743" s="3"/>
      <c r="BN743" s="3"/>
      <c r="BS743" s="294">
        <f t="shared" si="15"/>
        <v>0</v>
      </c>
      <c r="BT743" s="297">
        <f t="shared" si="16"/>
        <v>0</v>
      </c>
      <c r="BU743" s="298" t="str">
        <f t="shared" si="17"/>
        <v/>
      </c>
      <c r="BV743" s="3"/>
      <c r="BW743" s="3"/>
      <c r="BX743" s="3"/>
      <c r="BY743" s="3"/>
      <c r="BZ743" s="3"/>
      <c r="CA743" s="3"/>
      <c r="CB743" s="3"/>
      <c r="CC743" s="3"/>
      <c r="CE743" s="3"/>
      <c r="CF743" s="3"/>
      <c r="CG743" s="1285">
        <f t="shared" si="39"/>
        <v>0</v>
      </c>
      <c r="CH743" s="1287"/>
      <c r="CI743" s="1269">
        <f t="shared" si="40"/>
        <v>0</v>
      </c>
      <c r="CJ743" s="1271"/>
      <c r="CK743" s="1285">
        <f t="shared" si="18"/>
        <v>0</v>
      </c>
      <c r="CL743" s="1287"/>
      <c r="CM743" s="1269">
        <f t="shared" si="19"/>
        <v>0</v>
      </c>
      <c r="CN743" s="1271"/>
      <c r="CO743" s="3"/>
      <c r="CP743" s="1266">
        <f t="shared" si="20"/>
        <v>0</v>
      </c>
      <c r="CQ743" s="1267"/>
      <c r="CR743" s="1267"/>
      <c r="CS743" s="1267"/>
      <c r="CT743" s="1268"/>
      <c r="CU743" s="1288">
        <f t="shared" si="21"/>
        <v>0</v>
      </c>
      <c r="CV743" s="1288"/>
      <c r="CW743" s="1288"/>
      <c r="CX743" s="1288"/>
      <c r="CY743" s="1288"/>
      <c r="CZ743" s="1288">
        <f t="shared" si="22"/>
        <v>0</v>
      </c>
      <c r="DA743" s="1288"/>
      <c r="DB743" s="1288"/>
      <c r="DC743" s="1288"/>
      <c r="DD743" s="1288"/>
      <c r="DE743" s="1288">
        <f t="shared" si="23"/>
        <v>0</v>
      </c>
      <c r="DF743" s="1288"/>
      <c r="DG743" s="1288"/>
      <c r="DH743" s="1288"/>
      <c r="DI743" s="1288"/>
      <c r="DJ743" s="1288">
        <f t="shared" si="24"/>
        <v>0</v>
      </c>
      <c r="DK743" s="1288"/>
      <c r="DL743" s="1288"/>
      <c r="DM743" s="1288"/>
      <c r="DN743" s="1288"/>
      <c r="DO743" s="1288">
        <f t="shared" si="25"/>
        <v>0</v>
      </c>
      <c r="DP743" s="1288"/>
      <c r="DQ743" s="1288"/>
      <c r="DR743" s="1288"/>
      <c r="DS743" s="1288"/>
      <c r="DT743" s="6"/>
      <c r="DU743" s="1306">
        <f t="shared" si="26"/>
        <v>0</v>
      </c>
      <c r="DV743" s="1306"/>
      <c r="DW743" s="1306"/>
      <c r="DX743" s="1306"/>
      <c r="DY743" s="1306"/>
      <c r="DZ743" s="1306">
        <f t="shared" si="27"/>
        <v>0</v>
      </c>
      <c r="EA743" s="1306"/>
      <c r="EB743" s="1306"/>
      <c r="EC743" s="1306"/>
      <c r="ED743" s="1306"/>
      <c r="EE743" s="1306">
        <f t="shared" si="28"/>
        <v>0</v>
      </c>
      <c r="EF743" s="1306"/>
      <c r="EG743" s="1306"/>
      <c r="EH743" s="1306"/>
      <c r="EI743" s="1306"/>
      <c r="EJ743" s="1306">
        <f t="shared" si="29"/>
        <v>0</v>
      </c>
      <c r="EK743" s="1306"/>
      <c r="EL743" s="1306"/>
      <c r="EM743" s="1306"/>
      <c r="EN743" s="1306"/>
      <c r="EO743" s="1306">
        <f t="shared" si="30"/>
        <v>0</v>
      </c>
      <c r="EP743" s="1306"/>
      <c r="EQ743" s="1306"/>
      <c r="ER743" s="1306"/>
      <c r="ES743" s="1306"/>
      <c r="ET743" s="1306">
        <f t="shared" si="31"/>
        <v>0</v>
      </c>
      <c r="EU743" s="1306"/>
      <c r="EV743" s="1306"/>
      <c r="EW743" s="1306"/>
      <c r="EX743" s="1306"/>
      <c r="EZ743" s="1285" t="str">
        <f t="shared" si="32"/>
        <v/>
      </c>
      <c r="FA743" s="1286"/>
      <c r="FB743" s="1286"/>
      <c r="FC743" s="1286"/>
      <c r="FD743" s="1287"/>
      <c r="FE743" s="1285" t="str">
        <f t="shared" si="33"/>
        <v/>
      </c>
      <c r="FF743" s="1286"/>
      <c r="FG743" s="1286"/>
      <c r="FH743" s="1286"/>
      <c r="FI743" s="1287"/>
      <c r="FJ743" s="1285" t="str">
        <f t="shared" si="34"/>
        <v/>
      </c>
      <c r="FK743" s="1286"/>
      <c r="FL743" s="1286"/>
      <c r="FM743" s="1286"/>
      <c r="FN743" s="1287"/>
      <c r="FO743" s="1285" t="str">
        <f t="shared" si="35"/>
        <v/>
      </c>
      <c r="FP743" s="1286"/>
      <c r="FQ743" s="1286"/>
      <c r="FR743" s="1286"/>
      <c r="FS743" s="1287"/>
      <c r="FT743" s="1285" t="str">
        <f t="shared" si="36"/>
        <v/>
      </c>
      <c r="FU743" s="1286"/>
      <c r="FV743" s="1286"/>
      <c r="FW743" s="1286"/>
      <c r="FX743" s="1287"/>
      <c r="FY743" s="1285" t="str">
        <f t="shared" si="37"/>
        <v/>
      </c>
      <c r="FZ743" s="1286"/>
      <c r="GA743" s="1286"/>
      <c r="GB743" s="1286"/>
      <c r="GC743" s="1287"/>
    </row>
    <row r="744" spans="1:185" ht="12.95" customHeight="1">
      <c r="B744" s="1290"/>
      <c r="C744" s="1291"/>
      <c r="D744" s="1291"/>
      <c r="E744" s="1291"/>
      <c r="F744" s="1292"/>
      <c r="G744" s="1518"/>
      <c r="H744" s="1519"/>
      <c r="I744" s="1519"/>
      <c r="J744" s="1520"/>
      <c r="K744" s="1525"/>
      <c r="L744" s="1526"/>
      <c r="M744" s="1526"/>
      <c r="N744" s="1527"/>
      <c r="O744" s="1296"/>
      <c r="P744" s="1297"/>
      <c r="Q744" s="1297"/>
      <c r="R744" s="1297"/>
      <c r="S744" s="1298"/>
      <c r="T744" s="1296"/>
      <c r="U744" s="1297"/>
      <c r="V744" s="1297"/>
      <c r="W744" s="1298"/>
      <c r="X744" s="1299">
        <f t="shared" si="10"/>
        <v>0</v>
      </c>
      <c r="Y744" s="1300"/>
      <c r="Z744" s="1300"/>
      <c r="AA744" s="1300"/>
      <c r="AB744" s="1301"/>
      <c r="AC744" s="1293"/>
      <c r="AD744" s="1294"/>
      <c r="AE744" s="1294"/>
      <c r="AF744" s="1294"/>
      <c r="AG744" s="1295"/>
      <c r="AH744" s="1302" t="str">
        <f t="shared" si="38"/>
        <v/>
      </c>
      <c r="AI744" s="1303"/>
      <c r="AJ744" s="1304"/>
      <c r="AK744" s="1290" t="s">
        <v>591</v>
      </c>
      <c r="AL744" s="1291"/>
      <c r="AM744" s="1291"/>
      <c r="AN744" s="1291"/>
      <c r="AO744" s="1292"/>
      <c r="AP744" s="3"/>
      <c r="AQ744" s="3"/>
      <c r="AR744" s="3"/>
      <c r="AS744" s="3"/>
      <c r="AY744" s="1080"/>
      <c r="AZ744" s="118" t="str">
        <f t="shared" si="11"/>
        <v>N/A</v>
      </c>
      <c r="BA744" s="3"/>
      <c r="BB744" s="3"/>
      <c r="BC744" s="3"/>
      <c r="BD744" s="3"/>
      <c r="BE744" s="204"/>
      <c r="BF744" s="294">
        <f t="shared" si="12"/>
        <v>0</v>
      </c>
      <c r="BG744" s="297">
        <f t="shared" si="13"/>
        <v>0</v>
      </c>
      <c r="BH744" s="298" t="str">
        <f t="shared" si="14"/>
        <v/>
      </c>
      <c r="BI744" s="3"/>
      <c r="BJ744" s="3"/>
      <c r="BK744" s="3"/>
      <c r="BL744" s="3"/>
      <c r="BM744" s="3"/>
      <c r="BN744" s="3"/>
      <c r="BS744" s="294">
        <f t="shared" si="15"/>
        <v>0</v>
      </c>
      <c r="BT744" s="297">
        <f t="shared" si="16"/>
        <v>0</v>
      </c>
      <c r="BU744" s="298" t="str">
        <f t="shared" si="17"/>
        <v/>
      </c>
      <c r="BV744" s="3"/>
      <c r="BW744" s="3"/>
      <c r="BX744" s="3"/>
      <c r="BY744" s="3"/>
      <c r="BZ744" s="3"/>
      <c r="CA744" s="3"/>
      <c r="CB744" s="3"/>
      <c r="CC744" s="3"/>
      <c r="CE744" s="3"/>
      <c r="CF744" s="3"/>
      <c r="CG744" s="1285">
        <f t="shared" si="39"/>
        <v>0</v>
      </c>
      <c r="CH744" s="1287"/>
      <c r="CI744" s="1269">
        <f t="shared" si="40"/>
        <v>0</v>
      </c>
      <c r="CJ744" s="1271"/>
      <c r="CK744" s="1285">
        <f t="shared" si="18"/>
        <v>0</v>
      </c>
      <c r="CL744" s="1287"/>
      <c r="CM744" s="1269">
        <f t="shared" si="19"/>
        <v>0</v>
      </c>
      <c r="CN744" s="1271"/>
      <c r="CO744" s="3"/>
      <c r="CP744" s="1266">
        <f t="shared" si="20"/>
        <v>0</v>
      </c>
      <c r="CQ744" s="1267"/>
      <c r="CR744" s="1267"/>
      <c r="CS744" s="1267"/>
      <c r="CT744" s="1268"/>
      <c r="CU744" s="1288">
        <f t="shared" si="21"/>
        <v>0</v>
      </c>
      <c r="CV744" s="1288"/>
      <c r="CW744" s="1288"/>
      <c r="CX744" s="1288"/>
      <c r="CY744" s="1288"/>
      <c r="CZ744" s="1288">
        <f t="shared" si="22"/>
        <v>0</v>
      </c>
      <c r="DA744" s="1288"/>
      <c r="DB744" s="1288"/>
      <c r="DC744" s="1288"/>
      <c r="DD744" s="1288"/>
      <c r="DE744" s="1288">
        <f t="shared" si="23"/>
        <v>0</v>
      </c>
      <c r="DF744" s="1288"/>
      <c r="DG744" s="1288"/>
      <c r="DH744" s="1288"/>
      <c r="DI744" s="1288"/>
      <c r="DJ744" s="1288">
        <f t="shared" si="24"/>
        <v>0</v>
      </c>
      <c r="DK744" s="1288"/>
      <c r="DL744" s="1288"/>
      <c r="DM744" s="1288"/>
      <c r="DN744" s="1288"/>
      <c r="DO744" s="1288">
        <f t="shared" si="25"/>
        <v>0</v>
      </c>
      <c r="DP744" s="1288"/>
      <c r="DQ744" s="1288"/>
      <c r="DR744" s="1288"/>
      <c r="DS744" s="1288"/>
      <c r="DT744" s="6"/>
      <c r="DU744" s="1306">
        <f t="shared" si="26"/>
        <v>0</v>
      </c>
      <c r="DV744" s="1306"/>
      <c r="DW744" s="1306"/>
      <c r="DX744" s="1306"/>
      <c r="DY744" s="1306"/>
      <c r="DZ744" s="1306">
        <f t="shared" si="27"/>
        <v>0</v>
      </c>
      <c r="EA744" s="1306"/>
      <c r="EB744" s="1306"/>
      <c r="EC744" s="1306"/>
      <c r="ED744" s="1306"/>
      <c r="EE744" s="1306">
        <f t="shared" si="28"/>
        <v>0</v>
      </c>
      <c r="EF744" s="1306"/>
      <c r="EG744" s="1306"/>
      <c r="EH744" s="1306"/>
      <c r="EI744" s="1306"/>
      <c r="EJ744" s="1306">
        <f t="shared" si="29"/>
        <v>0</v>
      </c>
      <c r="EK744" s="1306"/>
      <c r="EL744" s="1306"/>
      <c r="EM744" s="1306"/>
      <c r="EN744" s="1306"/>
      <c r="EO744" s="1306">
        <f t="shared" si="30"/>
        <v>0</v>
      </c>
      <c r="EP744" s="1306"/>
      <c r="EQ744" s="1306"/>
      <c r="ER744" s="1306"/>
      <c r="ES744" s="1306"/>
      <c r="ET744" s="1306">
        <f t="shared" si="31"/>
        <v>0</v>
      </c>
      <c r="EU744" s="1306"/>
      <c r="EV744" s="1306"/>
      <c r="EW744" s="1306"/>
      <c r="EX744" s="1306"/>
      <c r="EZ744" s="1285" t="str">
        <f t="shared" si="32"/>
        <v/>
      </c>
      <c r="FA744" s="1286"/>
      <c r="FB744" s="1286"/>
      <c r="FC744" s="1286"/>
      <c r="FD744" s="1287"/>
      <c r="FE744" s="1285" t="str">
        <f t="shared" si="33"/>
        <v/>
      </c>
      <c r="FF744" s="1286"/>
      <c r="FG744" s="1286"/>
      <c r="FH744" s="1286"/>
      <c r="FI744" s="1287"/>
      <c r="FJ744" s="1285" t="str">
        <f t="shared" si="34"/>
        <v/>
      </c>
      <c r="FK744" s="1286"/>
      <c r="FL744" s="1286"/>
      <c r="FM744" s="1286"/>
      <c r="FN744" s="1287"/>
      <c r="FO744" s="1285" t="str">
        <f t="shared" si="35"/>
        <v/>
      </c>
      <c r="FP744" s="1286"/>
      <c r="FQ744" s="1286"/>
      <c r="FR744" s="1286"/>
      <c r="FS744" s="1287"/>
      <c r="FT744" s="1285" t="str">
        <f t="shared" si="36"/>
        <v/>
      </c>
      <c r="FU744" s="1286"/>
      <c r="FV744" s="1286"/>
      <c r="FW744" s="1286"/>
      <c r="FX744" s="1287"/>
      <c r="FY744" s="1285" t="str">
        <f t="shared" si="37"/>
        <v/>
      </c>
      <c r="FZ744" s="1286"/>
      <c r="GA744" s="1286"/>
      <c r="GB744" s="1286"/>
      <c r="GC744" s="1287"/>
    </row>
    <row r="745" spans="1:185" ht="12.95" customHeight="1">
      <c r="B745" s="1290"/>
      <c r="C745" s="1291"/>
      <c r="D745" s="1291"/>
      <c r="E745" s="1291"/>
      <c r="F745" s="1292"/>
      <c r="G745" s="1518"/>
      <c r="H745" s="1519"/>
      <c r="I745" s="1519"/>
      <c r="J745" s="1520"/>
      <c r="K745" s="1525"/>
      <c r="L745" s="1526"/>
      <c r="M745" s="1526"/>
      <c r="N745" s="1527"/>
      <c r="O745" s="1296"/>
      <c r="P745" s="1297"/>
      <c r="Q745" s="1297"/>
      <c r="R745" s="1297"/>
      <c r="S745" s="1298"/>
      <c r="T745" s="1296"/>
      <c r="U745" s="1297"/>
      <c r="V745" s="1297"/>
      <c r="W745" s="1298"/>
      <c r="X745" s="1299">
        <f t="shared" si="10"/>
        <v>0</v>
      </c>
      <c r="Y745" s="1300"/>
      <c r="Z745" s="1300"/>
      <c r="AA745" s="1300"/>
      <c r="AB745" s="1301"/>
      <c r="AC745" s="1293"/>
      <c r="AD745" s="1294"/>
      <c r="AE745" s="1294"/>
      <c r="AF745" s="1294"/>
      <c r="AG745" s="1295"/>
      <c r="AH745" s="1302" t="str">
        <f t="shared" si="38"/>
        <v/>
      </c>
      <c r="AI745" s="1303"/>
      <c r="AJ745" s="1304"/>
      <c r="AK745" s="1290" t="s">
        <v>591</v>
      </c>
      <c r="AL745" s="1291"/>
      <c r="AM745" s="1291"/>
      <c r="AN745" s="1291"/>
      <c r="AO745" s="1292"/>
      <c r="AP745" s="3"/>
      <c r="AQ745" s="3"/>
      <c r="AR745" s="3"/>
      <c r="AS745" s="3"/>
      <c r="AY745" s="1080"/>
      <c r="AZ745" s="118" t="str">
        <f t="shared" si="11"/>
        <v>N/A</v>
      </c>
      <c r="BA745" s="3"/>
      <c r="BB745" s="3"/>
      <c r="BC745" s="3"/>
      <c r="BD745" s="3"/>
      <c r="BE745" s="204"/>
      <c r="BF745" s="294">
        <f t="shared" si="12"/>
        <v>0</v>
      </c>
      <c r="BG745" s="297">
        <f t="shared" si="13"/>
        <v>0</v>
      </c>
      <c r="BH745" s="298" t="str">
        <f t="shared" si="14"/>
        <v/>
      </c>
      <c r="BI745" s="3"/>
      <c r="BJ745" s="3"/>
      <c r="BK745" s="3"/>
      <c r="BL745" s="3"/>
      <c r="BM745" s="3"/>
      <c r="BN745" s="3"/>
      <c r="BS745" s="294">
        <f t="shared" si="15"/>
        <v>0</v>
      </c>
      <c r="BT745" s="297">
        <f t="shared" si="16"/>
        <v>0</v>
      </c>
      <c r="BU745" s="298" t="str">
        <f t="shared" si="17"/>
        <v/>
      </c>
      <c r="BV745" s="3"/>
      <c r="BW745" s="3"/>
      <c r="BX745" s="3"/>
      <c r="BY745" s="3"/>
      <c r="BZ745" s="3"/>
      <c r="CA745" s="3"/>
      <c r="CB745" s="3"/>
      <c r="CC745" s="3"/>
      <c r="CE745" s="3"/>
      <c r="CF745" s="3"/>
      <c r="CG745" s="1285">
        <f t="shared" si="39"/>
        <v>0</v>
      </c>
      <c r="CH745" s="1287"/>
      <c r="CI745" s="1269">
        <f t="shared" si="40"/>
        <v>0</v>
      </c>
      <c r="CJ745" s="1271"/>
      <c r="CK745" s="1285">
        <f t="shared" si="18"/>
        <v>0</v>
      </c>
      <c r="CL745" s="1287"/>
      <c r="CM745" s="1269">
        <f t="shared" si="19"/>
        <v>0</v>
      </c>
      <c r="CN745" s="1271"/>
      <c r="CO745" s="3"/>
      <c r="CP745" s="1266">
        <f t="shared" si="20"/>
        <v>0</v>
      </c>
      <c r="CQ745" s="1267"/>
      <c r="CR745" s="1267"/>
      <c r="CS745" s="1267"/>
      <c r="CT745" s="1268"/>
      <c r="CU745" s="1288">
        <f t="shared" si="21"/>
        <v>0</v>
      </c>
      <c r="CV745" s="1288"/>
      <c r="CW745" s="1288"/>
      <c r="CX745" s="1288"/>
      <c r="CY745" s="1288"/>
      <c r="CZ745" s="1288">
        <f t="shared" si="22"/>
        <v>0</v>
      </c>
      <c r="DA745" s="1288"/>
      <c r="DB745" s="1288"/>
      <c r="DC745" s="1288"/>
      <c r="DD745" s="1288"/>
      <c r="DE745" s="1288">
        <f t="shared" si="23"/>
        <v>0</v>
      </c>
      <c r="DF745" s="1288"/>
      <c r="DG745" s="1288"/>
      <c r="DH745" s="1288"/>
      <c r="DI745" s="1288"/>
      <c r="DJ745" s="1288">
        <f t="shared" si="24"/>
        <v>0</v>
      </c>
      <c r="DK745" s="1288"/>
      <c r="DL745" s="1288"/>
      <c r="DM745" s="1288"/>
      <c r="DN745" s="1288"/>
      <c r="DO745" s="1288">
        <f t="shared" si="25"/>
        <v>0</v>
      </c>
      <c r="DP745" s="1288"/>
      <c r="DQ745" s="1288"/>
      <c r="DR745" s="1288"/>
      <c r="DS745" s="1288"/>
      <c r="DT745" s="6"/>
      <c r="DU745" s="1306">
        <f t="shared" si="26"/>
        <v>0</v>
      </c>
      <c r="DV745" s="1306"/>
      <c r="DW745" s="1306"/>
      <c r="DX745" s="1306"/>
      <c r="DY745" s="1306"/>
      <c r="DZ745" s="1306">
        <f t="shared" si="27"/>
        <v>0</v>
      </c>
      <c r="EA745" s="1306"/>
      <c r="EB745" s="1306"/>
      <c r="EC745" s="1306"/>
      <c r="ED745" s="1306"/>
      <c r="EE745" s="1306">
        <f t="shared" si="28"/>
        <v>0</v>
      </c>
      <c r="EF745" s="1306"/>
      <c r="EG745" s="1306"/>
      <c r="EH745" s="1306"/>
      <c r="EI745" s="1306"/>
      <c r="EJ745" s="1306">
        <f t="shared" si="29"/>
        <v>0</v>
      </c>
      <c r="EK745" s="1306"/>
      <c r="EL745" s="1306"/>
      <c r="EM745" s="1306"/>
      <c r="EN745" s="1306"/>
      <c r="EO745" s="1306">
        <f t="shared" si="30"/>
        <v>0</v>
      </c>
      <c r="EP745" s="1306"/>
      <c r="EQ745" s="1306"/>
      <c r="ER745" s="1306"/>
      <c r="ES745" s="1306"/>
      <c r="ET745" s="1306">
        <f t="shared" si="31"/>
        <v>0</v>
      </c>
      <c r="EU745" s="1306"/>
      <c r="EV745" s="1306"/>
      <c r="EW745" s="1306"/>
      <c r="EX745" s="1306"/>
      <c r="EZ745" s="1285" t="str">
        <f t="shared" si="32"/>
        <v/>
      </c>
      <c r="FA745" s="1286"/>
      <c r="FB745" s="1286"/>
      <c r="FC745" s="1286"/>
      <c r="FD745" s="1287"/>
      <c r="FE745" s="1285" t="str">
        <f t="shared" si="33"/>
        <v/>
      </c>
      <c r="FF745" s="1286"/>
      <c r="FG745" s="1286"/>
      <c r="FH745" s="1286"/>
      <c r="FI745" s="1287"/>
      <c r="FJ745" s="1285" t="str">
        <f t="shared" si="34"/>
        <v/>
      </c>
      <c r="FK745" s="1286"/>
      <c r="FL745" s="1286"/>
      <c r="FM745" s="1286"/>
      <c r="FN745" s="1287"/>
      <c r="FO745" s="1285" t="str">
        <f t="shared" si="35"/>
        <v/>
      </c>
      <c r="FP745" s="1286"/>
      <c r="FQ745" s="1286"/>
      <c r="FR745" s="1286"/>
      <c r="FS745" s="1287"/>
      <c r="FT745" s="1285" t="str">
        <f t="shared" si="36"/>
        <v/>
      </c>
      <c r="FU745" s="1286"/>
      <c r="FV745" s="1286"/>
      <c r="FW745" s="1286"/>
      <c r="FX745" s="1287"/>
      <c r="FY745" s="1285" t="str">
        <f t="shared" si="37"/>
        <v/>
      </c>
      <c r="FZ745" s="1286"/>
      <c r="GA745" s="1286"/>
      <c r="GB745" s="1286"/>
      <c r="GC745" s="1287"/>
    </row>
    <row r="746" spans="1:185" ht="12.95" customHeight="1">
      <c r="B746" s="1290"/>
      <c r="C746" s="1291"/>
      <c r="D746" s="1291"/>
      <c r="E746" s="1291"/>
      <c r="F746" s="1292"/>
      <c r="G746" s="1518"/>
      <c r="H746" s="1519"/>
      <c r="I746" s="1519"/>
      <c r="J746" s="1520"/>
      <c r="K746" s="1525"/>
      <c r="L746" s="1526"/>
      <c r="M746" s="1526"/>
      <c r="N746" s="1527"/>
      <c r="O746" s="1296"/>
      <c r="P746" s="1297"/>
      <c r="Q746" s="1297"/>
      <c r="R746" s="1297"/>
      <c r="S746" s="1298"/>
      <c r="T746" s="1296"/>
      <c r="U746" s="1297"/>
      <c r="V746" s="1297"/>
      <c r="W746" s="1298"/>
      <c r="X746" s="1299">
        <f t="shared" si="10"/>
        <v>0</v>
      </c>
      <c r="Y746" s="1300"/>
      <c r="Z746" s="1300"/>
      <c r="AA746" s="1300"/>
      <c r="AB746" s="1301"/>
      <c r="AC746" s="1293"/>
      <c r="AD746" s="1294"/>
      <c r="AE746" s="1294"/>
      <c r="AF746" s="1294"/>
      <c r="AG746" s="1295"/>
      <c r="AH746" s="1302" t="str">
        <f t="shared" si="38"/>
        <v/>
      </c>
      <c r="AI746" s="1303"/>
      <c r="AJ746" s="1304"/>
      <c r="AK746" s="1290" t="s">
        <v>591</v>
      </c>
      <c r="AL746" s="1291"/>
      <c r="AM746" s="1291"/>
      <c r="AN746" s="1291"/>
      <c r="AO746" s="1292"/>
      <c r="AP746" s="3"/>
      <c r="AQ746" s="3"/>
      <c r="AR746" s="3"/>
      <c r="AS746" s="3"/>
      <c r="AY746" s="1080"/>
      <c r="AZ746" s="118" t="str">
        <f t="shared" si="11"/>
        <v>N/A</v>
      </c>
      <c r="BA746" s="3"/>
      <c r="BE746" s="204"/>
      <c r="BF746" s="294">
        <f t="shared" si="12"/>
        <v>0</v>
      </c>
      <c r="BG746" s="297">
        <f t="shared" si="13"/>
        <v>0</v>
      </c>
      <c r="BH746" s="298" t="str">
        <f t="shared" si="14"/>
        <v/>
      </c>
      <c r="BK746" s="3"/>
      <c r="BL746" s="3"/>
      <c r="BM746" s="3"/>
      <c r="BN746" s="3"/>
      <c r="BS746" s="294">
        <f t="shared" si="15"/>
        <v>0</v>
      </c>
      <c r="BT746" s="297">
        <f t="shared" si="16"/>
        <v>0</v>
      </c>
      <c r="BU746" s="298" t="str">
        <f t="shared" si="17"/>
        <v/>
      </c>
      <c r="BV746" s="3"/>
      <c r="BW746" s="3"/>
      <c r="BX746" s="3"/>
      <c r="BY746" s="3"/>
      <c r="BZ746" s="3"/>
      <c r="CA746" s="3"/>
      <c r="CB746" s="3"/>
      <c r="CC746" s="3"/>
      <c r="CE746" s="3"/>
      <c r="CF746" s="3"/>
      <c r="CG746" s="1285">
        <f t="shared" si="39"/>
        <v>0</v>
      </c>
      <c r="CH746" s="1287"/>
      <c r="CI746" s="1269">
        <f t="shared" si="40"/>
        <v>0</v>
      </c>
      <c r="CJ746" s="1271"/>
      <c r="CK746" s="1285">
        <f t="shared" si="18"/>
        <v>0</v>
      </c>
      <c r="CL746" s="1287"/>
      <c r="CM746" s="1269">
        <f t="shared" si="19"/>
        <v>0</v>
      </c>
      <c r="CN746" s="1271"/>
      <c r="CO746" s="3"/>
      <c r="CP746" s="1266">
        <f t="shared" si="20"/>
        <v>0</v>
      </c>
      <c r="CQ746" s="1267"/>
      <c r="CR746" s="1267"/>
      <c r="CS746" s="1267"/>
      <c r="CT746" s="1268"/>
      <c r="CU746" s="1288">
        <f t="shared" si="21"/>
        <v>0</v>
      </c>
      <c r="CV746" s="1288"/>
      <c r="CW746" s="1288"/>
      <c r="CX746" s="1288"/>
      <c r="CY746" s="1288"/>
      <c r="CZ746" s="1288">
        <f t="shared" si="22"/>
        <v>0</v>
      </c>
      <c r="DA746" s="1288"/>
      <c r="DB746" s="1288"/>
      <c r="DC746" s="1288"/>
      <c r="DD746" s="1288"/>
      <c r="DE746" s="1288">
        <f t="shared" si="23"/>
        <v>0</v>
      </c>
      <c r="DF746" s="1288"/>
      <c r="DG746" s="1288"/>
      <c r="DH746" s="1288"/>
      <c r="DI746" s="1288"/>
      <c r="DJ746" s="1288">
        <f t="shared" si="24"/>
        <v>0</v>
      </c>
      <c r="DK746" s="1288"/>
      <c r="DL746" s="1288"/>
      <c r="DM746" s="1288"/>
      <c r="DN746" s="1288"/>
      <c r="DO746" s="1288">
        <f t="shared" si="25"/>
        <v>0</v>
      </c>
      <c r="DP746" s="1288"/>
      <c r="DQ746" s="1288"/>
      <c r="DR746" s="1288"/>
      <c r="DS746" s="1288"/>
      <c r="DT746" s="6"/>
      <c r="DU746" s="1306">
        <f t="shared" si="26"/>
        <v>0</v>
      </c>
      <c r="DV746" s="1306"/>
      <c r="DW746" s="1306"/>
      <c r="DX746" s="1306"/>
      <c r="DY746" s="1306"/>
      <c r="DZ746" s="1306">
        <f t="shared" si="27"/>
        <v>0</v>
      </c>
      <c r="EA746" s="1306"/>
      <c r="EB746" s="1306"/>
      <c r="EC746" s="1306"/>
      <c r="ED746" s="1306"/>
      <c r="EE746" s="1306">
        <f t="shared" si="28"/>
        <v>0</v>
      </c>
      <c r="EF746" s="1306"/>
      <c r="EG746" s="1306"/>
      <c r="EH746" s="1306"/>
      <c r="EI746" s="1306"/>
      <c r="EJ746" s="1306">
        <f t="shared" si="29"/>
        <v>0</v>
      </c>
      <c r="EK746" s="1306"/>
      <c r="EL746" s="1306"/>
      <c r="EM746" s="1306"/>
      <c r="EN746" s="1306"/>
      <c r="EO746" s="1306">
        <f t="shared" si="30"/>
        <v>0</v>
      </c>
      <c r="EP746" s="1306"/>
      <c r="EQ746" s="1306"/>
      <c r="ER746" s="1306"/>
      <c r="ES746" s="1306"/>
      <c r="ET746" s="1306">
        <f t="shared" si="31"/>
        <v>0</v>
      </c>
      <c r="EU746" s="1306"/>
      <c r="EV746" s="1306"/>
      <c r="EW746" s="1306"/>
      <c r="EX746" s="1306"/>
      <c r="EZ746" s="1285" t="str">
        <f t="shared" si="32"/>
        <v/>
      </c>
      <c r="FA746" s="1286"/>
      <c r="FB746" s="1286"/>
      <c r="FC746" s="1286"/>
      <c r="FD746" s="1287"/>
      <c r="FE746" s="1285" t="str">
        <f t="shared" si="33"/>
        <v/>
      </c>
      <c r="FF746" s="1286"/>
      <c r="FG746" s="1286"/>
      <c r="FH746" s="1286"/>
      <c r="FI746" s="1287"/>
      <c r="FJ746" s="1285" t="str">
        <f t="shared" si="34"/>
        <v/>
      </c>
      <c r="FK746" s="1286"/>
      <c r="FL746" s="1286"/>
      <c r="FM746" s="1286"/>
      <c r="FN746" s="1287"/>
      <c r="FO746" s="1285" t="str">
        <f t="shared" si="35"/>
        <v/>
      </c>
      <c r="FP746" s="1286"/>
      <c r="FQ746" s="1286"/>
      <c r="FR746" s="1286"/>
      <c r="FS746" s="1287"/>
      <c r="FT746" s="1285" t="str">
        <f t="shared" si="36"/>
        <v/>
      </c>
      <c r="FU746" s="1286"/>
      <c r="FV746" s="1286"/>
      <c r="FW746" s="1286"/>
      <c r="FX746" s="1287"/>
      <c r="FY746" s="1285" t="str">
        <f t="shared" si="37"/>
        <v/>
      </c>
      <c r="FZ746" s="1286"/>
      <c r="GA746" s="1286"/>
      <c r="GB746" s="1286"/>
      <c r="GC746" s="1287"/>
    </row>
    <row r="747" spans="1:185" ht="12.95" customHeight="1">
      <c r="B747" s="1290"/>
      <c r="C747" s="1291"/>
      <c r="D747" s="1291"/>
      <c r="E747" s="1291"/>
      <c r="F747" s="1292"/>
      <c r="G747" s="1518"/>
      <c r="H747" s="1519"/>
      <c r="I747" s="1519"/>
      <c r="J747" s="1520"/>
      <c r="K747" s="1525"/>
      <c r="L747" s="1526"/>
      <c r="M747" s="1526"/>
      <c r="N747" s="1527"/>
      <c r="O747" s="1296"/>
      <c r="P747" s="1297"/>
      <c r="Q747" s="1297"/>
      <c r="R747" s="1297"/>
      <c r="S747" s="1298"/>
      <c r="T747" s="1296"/>
      <c r="U747" s="1297"/>
      <c r="V747" s="1297"/>
      <c r="W747" s="1298"/>
      <c r="X747" s="1299">
        <f t="shared" si="10"/>
        <v>0</v>
      </c>
      <c r="Y747" s="1300"/>
      <c r="Z747" s="1300"/>
      <c r="AA747" s="1300"/>
      <c r="AB747" s="1301"/>
      <c r="AC747" s="1293"/>
      <c r="AD747" s="1294"/>
      <c r="AE747" s="1294"/>
      <c r="AF747" s="1294"/>
      <c r="AG747" s="1295"/>
      <c r="AH747" s="1302" t="str">
        <f t="shared" si="38"/>
        <v/>
      </c>
      <c r="AI747" s="1303"/>
      <c r="AJ747" s="1304"/>
      <c r="AK747" s="1290" t="s">
        <v>591</v>
      </c>
      <c r="AL747" s="1291"/>
      <c r="AM747" s="1291"/>
      <c r="AN747" s="1291"/>
      <c r="AO747" s="1292"/>
      <c r="AP747" s="3"/>
      <c r="AQ747" s="3"/>
      <c r="AR747" s="3"/>
      <c r="AS747" s="3"/>
      <c r="AY747" s="1080"/>
      <c r="AZ747" s="118" t="str">
        <f t="shared" si="11"/>
        <v>N/A</v>
      </c>
      <c r="BA747" s="3"/>
      <c r="BE747" s="204"/>
      <c r="BF747" s="294">
        <f t="shared" si="12"/>
        <v>0</v>
      </c>
      <c r="BG747" s="297">
        <f t="shared" si="13"/>
        <v>0</v>
      </c>
      <c r="BH747" s="298" t="str">
        <f t="shared" si="14"/>
        <v/>
      </c>
      <c r="BK747" s="3"/>
      <c r="BL747" s="3"/>
      <c r="BM747" s="3"/>
      <c r="BN747" s="3"/>
      <c r="BS747" s="294">
        <f t="shared" si="15"/>
        <v>0</v>
      </c>
      <c r="BT747" s="297">
        <f t="shared" si="16"/>
        <v>0</v>
      </c>
      <c r="BU747" s="298" t="str">
        <f t="shared" si="17"/>
        <v/>
      </c>
      <c r="BV747" s="3"/>
      <c r="BW747" s="3"/>
      <c r="BX747" s="3"/>
      <c r="BY747" s="3"/>
      <c r="BZ747" s="3"/>
      <c r="CA747" s="3"/>
      <c r="CB747" s="3"/>
      <c r="CC747" s="3"/>
      <c r="CE747" s="3"/>
      <c r="CF747" s="3"/>
      <c r="CG747" s="1285">
        <f t="shared" si="39"/>
        <v>0</v>
      </c>
      <c r="CH747" s="1287"/>
      <c r="CI747" s="1269">
        <f t="shared" si="40"/>
        <v>0</v>
      </c>
      <c r="CJ747" s="1271"/>
      <c r="CK747" s="1285">
        <f t="shared" si="18"/>
        <v>0</v>
      </c>
      <c r="CL747" s="1287"/>
      <c r="CM747" s="1269">
        <f t="shared" si="19"/>
        <v>0</v>
      </c>
      <c r="CN747" s="1271"/>
      <c r="CO747" s="3"/>
      <c r="CP747" s="1266">
        <f t="shared" si="20"/>
        <v>0</v>
      </c>
      <c r="CQ747" s="1267"/>
      <c r="CR747" s="1267"/>
      <c r="CS747" s="1267"/>
      <c r="CT747" s="1268"/>
      <c r="CU747" s="1288">
        <f t="shared" si="21"/>
        <v>0</v>
      </c>
      <c r="CV747" s="1288"/>
      <c r="CW747" s="1288"/>
      <c r="CX747" s="1288"/>
      <c r="CY747" s="1288"/>
      <c r="CZ747" s="1288">
        <f t="shared" si="22"/>
        <v>0</v>
      </c>
      <c r="DA747" s="1288"/>
      <c r="DB747" s="1288"/>
      <c r="DC747" s="1288"/>
      <c r="DD747" s="1288"/>
      <c r="DE747" s="1288">
        <f t="shared" si="23"/>
        <v>0</v>
      </c>
      <c r="DF747" s="1288"/>
      <c r="DG747" s="1288"/>
      <c r="DH747" s="1288"/>
      <c r="DI747" s="1288"/>
      <c r="DJ747" s="1288">
        <f t="shared" si="24"/>
        <v>0</v>
      </c>
      <c r="DK747" s="1288"/>
      <c r="DL747" s="1288"/>
      <c r="DM747" s="1288"/>
      <c r="DN747" s="1288"/>
      <c r="DO747" s="1288">
        <f t="shared" si="25"/>
        <v>0</v>
      </c>
      <c r="DP747" s="1288"/>
      <c r="DQ747" s="1288"/>
      <c r="DR747" s="1288"/>
      <c r="DS747" s="1288"/>
      <c r="DT747" s="6"/>
      <c r="DU747" s="1306">
        <f t="shared" si="26"/>
        <v>0</v>
      </c>
      <c r="DV747" s="1306"/>
      <c r="DW747" s="1306"/>
      <c r="DX747" s="1306"/>
      <c r="DY747" s="1306"/>
      <c r="DZ747" s="1306">
        <f t="shared" si="27"/>
        <v>0</v>
      </c>
      <c r="EA747" s="1306"/>
      <c r="EB747" s="1306"/>
      <c r="EC747" s="1306"/>
      <c r="ED747" s="1306"/>
      <c r="EE747" s="1306">
        <f t="shared" si="28"/>
        <v>0</v>
      </c>
      <c r="EF747" s="1306"/>
      <c r="EG747" s="1306"/>
      <c r="EH747" s="1306"/>
      <c r="EI747" s="1306"/>
      <c r="EJ747" s="1306">
        <f t="shared" si="29"/>
        <v>0</v>
      </c>
      <c r="EK747" s="1306"/>
      <c r="EL747" s="1306"/>
      <c r="EM747" s="1306"/>
      <c r="EN747" s="1306"/>
      <c r="EO747" s="1306">
        <f t="shared" si="30"/>
        <v>0</v>
      </c>
      <c r="EP747" s="1306"/>
      <c r="EQ747" s="1306"/>
      <c r="ER747" s="1306"/>
      <c r="ES747" s="1306"/>
      <c r="ET747" s="1306">
        <f t="shared" si="31"/>
        <v>0</v>
      </c>
      <c r="EU747" s="1306"/>
      <c r="EV747" s="1306"/>
      <c r="EW747" s="1306"/>
      <c r="EX747" s="1306"/>
      <c r="EZ747" s="1285" t="str">
        <f t="shared" si="32"/>
        <v/>
      </c>
      <c r="FA747" s="1286"/>
      <c r="FB747" s="1286"/>
      <c r="FC747" s="1286"/>
      <c r="FD747" s="1287"/>
      <c r="FE747" s="1285" t="str">
        <f t="shared" si="33"/>
        <v/>
      </c>
      <c r="FF747" s="1286"/>
      <c r="FG747" s="1286"/>
      <c r="FH747" s="1286"/>
      <c r="FI747" s="1287"/>
      <c r="FJ747" s="1285" t="str">
        <f t="shared" si="34"/>
        <v/>
      </c>
      <c r="FK747" s="1286"/>
      <c r="FL747" s="1286"/>
      <c r="FM747" s="1286"/>
      <c r="FN747" s="1287"/>
      <c r="FO747" s="1285" t="str">
        <f t="shared" si="35"/>
        <v/>
      </c>
      <c r="FP747" s="1286"/>
      <c r="FQ747" s="1286"/>
      <c r="FR747" s="1286"/>
      <c r="FS747" s="1287"/>
      <c r="FT747" s="1285" t="str">
        <f t="shared" si="36"/>
        <v/>
      </c>
      <c r="FU747" s="1286"/>
      <c r="FV747" s="1286"/>
      <c r="FW747" s="1286"/>
      <c r="FX747" s="1287"/>
      <c r="FY747" s="1285" t="str">
        <f t="shared" si="37"/>
        <v/>
      </c>
      <c r="FZ747" s="1286"/>
      <c r="GA747" s="1286"/>
      <c r="GB747" s="1286"/>
      <c r="GC747" s="1287"/>
    </row>
    <row r="748" spans="1:185" ht="12.95" customHeight="1">
      <c r="B748" s="1290"/>
      <c r="C748" s="1291"/>
      <c r="D748" s="1291"/>
      <c r="E748" s="1291"/>
      <c r="F748" s="1292"/>
      <c r="G748" s="1518"/>
      <c r="H748" s="1519"/>
      <c r="I748" s="1519"/>
      <c r="J748" s="1520"/>
      <c r="K748" s="1525"/>
      <c r="L748" s="1526"/>
      <c r="M748" s="1526"/>
      <c r="N748" s="1527"/>
      <c r="O748" s="1296"/>
      <c r="P748" s="1297"/>
      <c r="Q748" s="1297"/>
      <c r="R748" s="1297"/>
      <c r="S748" s="1298"/>
      <c r="T748" s="1296"/>
      <c r="U748" s="1297"/>
      <c r="V748" s="1297"/>
      <c r="W748" s="1298"/>
      <c r="X748" s="1299">
        <f t="shared" si="10"/>
        <v>0</v>
      </c>
      <c r="Y748" s="1300"/>
      <c r="Z748" s="1300"/>
      <c r="AA748" s="1300"/>
      <c r="AB748" s="1301"/>
      <c r="AC748" s="1293"/>
      <c r="AD748" s="1294"/>
      <c r="AE748" s="1294"/>
      <c r="AF748" s="1294"/>
      <c r="AG748" s="1295"/>
      <c r="AH748" s="1302" t="str">
        <f t="shared" si="38"/>
        <v/>
      </c>
      <c r="AI748" s="1303"/>
      <c r="AJ748" s="1304"/>
      <c r="AK748" s="1290" t="s">
        <v>591</v>
      </c>
      <c r="AL748" s="1291"/>
      <c r="AM748" s="1291"/>
      <c r="AN748" s="1291"/>
      <c r="AO748" s="1292"/>
      <c r="AP748" s="3"/>
      <c r="AQ748" s="3"/>
      <c r="AR748" s="3"/>
      <c r="AS748" s="3"/>
      <c r="AY748" s="1080"/>
      <c r="AZ748" s="118" t="str">
        <f t="shared" si="11"/>
        <v>N/A</v>
      </c>
      <c r="BA748" s="3"/>
      <c r="BE748" s="204"/>
      <c r="BF748" s="294">
        <f t="shared" si="12"/>
        <v>0</v>
      </c>
      <c r="BG748" s="297">
        <f t="shared" si="13"/>
        <v>0</v>
      </c>
      <c r="BH748" s="298" t="str">
        <f t="shared" si="14"/>
        <v/>
      </c>
      <c r="BK748" s="3"/>
      <c r="BL748" s="3"/>
      <c r="BM748" s="3"/>
      <c r="BN748" s="3"/>
      <c r="BS748" s="294">
        <f t="shared" si="15"/>
        <v>0</v>
      </c>
      <c r="BT748" s="297">
        <f t="shared" si="16"/>
        <v>0</v>
      </c>
      <c r="BU748" s="298" t="str">
        <f t="shared" si="17"/>
        <v/>
      </c>
      <c r="BV748" s="3"/>
      <c r="BW748" s="3"/>
      <c r="BX748" s="3"/>
      <c r="BY748" s="3"/>
      <c r="BZ748" s="3"/>
      <c r="CA748" s="3"/>
      <c r="CB748" s="3"/>
      <c r="CC748" s="3"/>
      <c r="CE748" s="3"/>
      <c r="CF748" s="3"/>
      <c r="CG748" s="1285">
        <f t="shared" si="39"/>
        <v>0</v>
      </c>
      <c r="CH748" s="1287"/>
      <c r="CI748" s="1269">
        <f t="shared" si="40"/>
        <v>0</v>
      </c>
      <c r="CJ748" s="1271"/>
      <c r="CK748" s="1285">
        <f t="shared" si="18"/>
        <v>0</v>
      </c>
      <c r="CL748" s="1287"/>
      <c r="CM748" s="1269">
        <f t="shared" si="19"/>
        <v>0</v>
      </c>
      <c r="CN748" s="1271"/>
      <c r="CO748" s="3"/>
      <c r="CP748" s="1266">
        <f t="shared" si="20"/>
        <v>0</v>
      </c>
      <c r="CQ748" s="1267"/>
      <c r="CR748" s="1267"/>
      <c r="CS748" s="1267"/>
      <c r="CT748" s="1268"/>
      <c r="CU748" s="1288">
        <f t="shared" si="21"/>
        <v>0</v>
      </c>
      <c r="CV748" s="1288"/>
      <c r="CW748" s="1288"/>
      <c r="CX748" s="1288"/>
      <c r="CY748" s="1288"/>
      <c r="CZ748" s="1288">
        <f t="shared" si="22"/>
        <v>0</v>
      </c>
      <c r="DA748" s="1288"/>
      <c r="DB748" s="1288"/>
      <c r="DC748" s="1288"/>
      <c r="DD748" s="1288"/>
      <c r="DE748" s="1288">
        <f t="shared" si="23"/>
        <v>0</v>
      </c>
      <c r="DF748" s="1288"/>
      <c r="DG748" s="1288"/>
      <c r="DH748" s="1288"/>
      <c r="DI748" s="1288"/>
      <c r="DJ748" s="1288">
        <f t="shared" si="24"/>
        <v>0</v>
      </c>
      <c r="DK748" s="1288"/>
      <c r="DL748" s="1288"/>
      <c r="DM748" s="1288"/>
      <c r="DN748" s="1288"/>
      <c r="DO748" s="1288">
        <f t="shared" si="25"/>
        <v>0</v>
      </c>
      <c r="DP748" s="1288"/>
      <c r="DQ748" s="1288"/>
      <c r="DR748" s="1288"/>
      <c r="DS748" s="1288"/>
      <c r="DT748" s="6"/>
      <c r="DU748" s="1306">
        <f t="shared" si="26"/>
        <v>0</v>
      </c>
      <c r="DV748" s="1306"/>
      <c r="DW748" s="1306"/>
      <c r="DX748" s="1306"/>
      <c r="DY748" s="1306"/>
      <c r="DZ748" s="1306">
        <f t="shared" si="27"/>
        <v>0</v>
      </c>
      <c r="EA748" s="1306"/>
      <c r="EB748" s="1306"/>
      <c r="EC748" s="1306"/>
      <c r="ED748" s="1306"/>
      <c r="EE748" s="1306">
        <f t="shared" si="28"/>
        <v>0</v>
      </c>
      <c r="EF748" s="1306"/>
      <c r="EG748" s="1306"/>
      <c r="EH748" s="1306"/>
      <c r="EI748" s="1306"/>
      <c r="EJ748" s="1306">
        <f t="shared" si="29"/>
        <v>0</v>
      </c>
      <c r="EK748" s="1306"/>
      <c r="EL748" s="1306"/>
      <c r="EM748" s="1306"/>
      <c r="EN748" s="1306"/>
      <c r="EO748" s="1306">
        <f t="shared" si="30"/>
        <v>0</v>
      </c>
      <c r="EP748" s="1306"/>
      <c r="EQ748" s="1306"/>
      <c r="ER748" s="1306"/>
      <c r="ES748" s="1306"/>
      <c r="ET748" s="1306">
        <f t="shared" si="31"/>
        <v>0</v>
      </c>
      <c r="EU748" s="1306"/>
      <c r="EV748" s="1306"/>
      <c r="EW748" s="1306"/>
      <c r="EX748" s="1306"/>
      <c r="EZ748" s="1285" t="str">
        <f t="shared" si="32"/>
        <v/>
      </c>
      <c r="FA748" s="1286"/>
      <c r="FB748" s="1286"/>
      <c r="FC748" s="1286"/>
      <c r="FD748" s="1287"/>
      <c r="FE748" s="1285" t="str">
        <f t="shared" si="33"/>
        <v/>
      </c>
      <c r="FF748" s="1286"/>
      <c r="FG748" s="1286"/>
      <c r="FH748" s="1286"/>
      <c r="FI748" s="1287"/>
      <c r="FJ748" s="1285" t="str">
        <f t="shared" si="34"/>
        <v/>
      </c>
      <c r="FK748" s="1286"/>
      <c r="FL748" s="1286"/>
      <c r="FM748" s="1286"/>
      <c r="FN748" s="1287"/>
      <c r="FO748" s="1285" t="str">
        <f t="shared" si="35"/>
        <v/>
      </c>
      <c r="FP748" s="1286"/>
      <c r="FQ748" s="1286"/>
      <c r="FR748" s="1286"/>
      <c r="FS748" s="1287"/>
      <c r="FT748" s="1285" t="str">
        <f t="shared" si="36"/>
        <v/>
      </c>
      <c r="FU748" s="1286"/>
      <c r="FV748" s="1286"/>
      <c r="FW748" s="1286"/>
      <c r="FX748" s="1287"/>
      <c r="FY748" s="1285" t="str">
        <f t="shared" si="37"/>
        <v/>
      </c>
      <c r="FZ748" s="1286"/>
      <c r="GA748" s="1286"/>
      <c r="GB748" s="1286"/>
      <c r="GC748" s="1287"/>
    </row>
    <row r="749" spans="1:185" ht="12.95" customHeight="1">
      <c r="B749" s="1290"/>
      <c r="C749" s="1291"/>
      <c r="D749" s="1291"/>
      <c r="E749" s="1291"/>
      <c r="F749" s="1292"/>
      <c r="G749" s="1518"/>
      <c r="H749" s="1519"/>
      <c r="I749" s="1519"/>
      <c r="J749" s="1520"/>
      <c r="K749" s="1525"/>
      <c r="L749" s="1526"/>
      <c r="M749" s="1526"/>
      <c r="N749" s="1527"/>
      <c r="O749" s="1296"/>
      <c r="P749" s="1297"/>
      <c r="Q749" s="1297"/>
      <c r="R749" s="1297"/>
      <c r="S749" s="1298"/>
      <c r="T749" s="1296"/>
      <c r="U749" s="1297"/>
      <c r="V749" s="1297"/>
      <c r="W749" s="1298"/>
      <c r="X749" s="1299">
        <f t="shared" si="10"/>
        <v>0</v>
      </c>
      <c r="Y749" s="1300"/>
      <c r="Z749" s="1300"/>
      <c r="AA749" s="1300"/>
      <c r="AB749" s="1301"/>
      <c r="AC749" s="1293"/>
      <c r="AD749" s="1294"/>
      <c r="AE749" s="1294"/>
      <c r="AF749" s="1294"/>
      <c r="AG749" s="1295"/>
      <c r="AH749" s="1302" t="str">
        <f t="shared" si="38"/>
        <v/>
      </c>
      <c r="AI749" s="1303"/>
      <c r="AJ749" s="1304"/>
      <c r="AK749" s="1290" t="s">
        <v>591</v>
      </c>
      <c r="AL749" s="1291"/>
      <c r="AM749" s="1291"/>
      <c r="AN749" s="1291"/>
      <c r="AO749" s="1292"/>
      <c r="AP749" s="3"/>
      <c r="AQ749" s="3"/>
      <c r="AR749" s="3"/>
      <c r="AS749" s="3"/>
      <c r="AY749" s="1080"/>
      <c r="AZ749" s="118" t="str">
        <f t="shared" si="11"/>
        <v>N/A</v>
      </c>
      <c r="BA749" s="3"/>
      <c r="BE749" s="204"/>
      <c r="BF749" s="294">
        <f t="shared" si="12"/>
        <v>0</v>
      </c>
      <c r="BG749" s="297">
        <f t="shared" si="13"/>
        <v>0</v>
      </c>
      <c r="BH749" s="298" t="str">
        <f t="shared" si="14"/>
        <v/>
      </c>
      <c r="BK749" s="3"/>
      <c r="BL749" s="3"/>
      <c r="BM749" s="3"/>
      <c r="BN749" s="3"/>
      <c r="BS749" s="294">
        <f t="shared" si="15"/>
        <v>0</v>
      </c>
      <c r="BT749" s="297">
        <f t="shared" si="16"/>
        <v>0</v>
      </c>
      <c r="BU749" s="298" t="str">
        <f t="shared" si="17"/>
        <v/>
      </c>
      <c r="BV749" s="3"/>
      <c r="BW749" s="3"/>
      <c r="BX749" s="3"/>
      <c r="BY749" s="3"/>
      <c r="BZ749" s="3"/>
      <c r="CA749" s="3"/>
      <c r="CB749" s="3"/>
      <c r="CC749" s="3"/>
      <c r="CE749" s="3"/>
      <c r="CF749" s="3"/>
      <c r="CG749" s="1285">
        <f t="shared" si="39"/>
        <v>0</v>
      </c>
      <c r="CH749" s="1287"/>
      <c r="CI749" s="1269">
        <f t="shared" si="40"/>
        <v>0</v>
      </c>
      <c r="CJ749" s="1271"/>
      <c r="CK749" s="1285">
        <f t="shared" si="18"/>
        <v>0</v>
      </c>
      <c r="CL749" s="1287"/>
      <c r="CM749" s="1269">
        <f t="shared" si="19"/>
        <v>0</v>
      </c>
      <c r="CN749" s="1271"/>
      <c r="CO749" s="3"/>
      <c r="CP749" s="1266">
        <f t="shared" si="20"/>
        <v>0</v>
      </c>
      <c r="CQ749" s="1267"/>
      <c r="CR749" s="1267"/>
      <c r="CS749" s="1267"/>
      <c r="CT749" s="1268"/>
      <c r="CU749" s="1288">
        <f t="shared" si="21"/>
        <v>0</v>
      </c>
      <c r="CV749" s="1288"/>
      <c r="CW749" s="1288"/>
      <c r="CX749" s="1288"/>
      <c r="CY749" s="1288"/>
      <c r="CZ749" s="1288">
        <f t="shared" si="22"/>
        <v>0</v>
      </c>
      <c r="DA749" s="1288"/>
      <c r="DB749" s="1288"/>
      <c r="DC749" s="1288"/>
      <c r="DD749" s="1288"/>
      <c r="DE749" s="1288">
        <f t="shared" si="23"/>
        <v>0</v>
      </c>
      <c r="DF749" s="1288"/>
      <c r="DG749" s="1288"/>
      <c r="DH749" s="1288"/>
      <c r="DI749" s="1288"/>
      <c r="DJ749" s="1288">
        <f t="shared" si="24"/>
        <v>0</v>
      </c>
      <c r="DK749" s="1288"/>
      <c r="DL749" s="1288"/>
      <c r="DM749" s="1288"/>
      <c r="DN749" s="1288"/>
      <c r="DO749" s="1288">
        <f t="shared" si="25"/>
        <v>0</v>
      </c>
      <c r="DP749" s="1288"/>
      <c r="DQ749" s="1288"/>
      <c r="DR749" s="1288"/>
      <c r="DS749" s="1288"/>
      <c r="DT749" s="6"/>
      <c r="DU749" s="1306">
        <f t="shared" si="26"/>
        <v>0</v>
      </c>
      <c r="DV749" s="1306"/>
      <c r="DW749" s="1306"/>
      <c r="DX749" s="1306"/>
      <c r="DY749" s="1306"/>
      <c r="DZ749" s="1306">
        <f t="shared" si="27"/>
        <v>0</v>
      </c>
      <c r="EA749" s="1306"/>
      <c r="EB749" s="1306"/>
      <c r="EC749" s="1306"/>
      <c r="ED749" s="1306"/>
      <c r="EE749" s="1306">
        <f t="shared" si="28"/>
        <v>0</v>
      </c>
      <c r="EF749" s="1306"/>
      <c r="EG749" s="1306"/>
      <c r="EH749" s="1306"/>
      <c r="EI749" s="1306"/>
      <c r="EJ749" s="1306">
        <f t="shared" si="29"/>
        <v>0</v>
      </c>
      <c r="EK749" s="1306"/>
      <c r="EL749" s="1306"/>
      <c r="EM749" s="1306"/>
      <c r="EN749" s="1306"/>
      <c r="EO749" s="1306">
        <f t="shared" si="30"/>
        <v>0</v>
      </c>
      <c r="EP749" s="1306"/>
      <c r="EQ749" s="1306"/>
      <c r="ER749" s="1306"/>
      <c r="ES749" s="1306"/>
      <c r="ET749" s="1306">
        <f t="shared" si="31"/>
        <v>0</v>
      </c>
      <c r="EU749" s="1306"/>
      <c r="EV749" s="1306"/>
      <c r="EW749" s="1306"/>
      <c r="EX749" s="1306"/>
      <c r="EZ749" s="1285" t="str">
        <f t="shared" si="32"/>
        <v/>
      </c>
      <c r="FA749" s="1286"/>
      <c r="FB749" s="1286"/>
      <c r="FC749" s="1286"/>
      <c r="FD749" s="1287"/>
      <c r="FE749" s="1285" t="str">
        <f t="shared" si="33"/>
        <v/>
      </c>
      <c r="FF749" s="1286"/>
      <c r="FG749" s="1286"/>
      <c r="FH749" s="1286"/>
      <c r="FI749" s="1287"/>
      <c r="FJ749" s="1285" t="str">
        <f t="shared" si="34"/>
        <v/>
      </c>
      <c r="FK749" s="1286"/>
      <c r="FL749" s="1286"/>
      <c r="FM749" s="1286"/>
      <c r="FN749" s="1287"/>
      <c r="FO749" s="1285" t="str">
        <f t="shared" si="35"/>
        <v/>
      </c>
      <c r="FP749" s="1286"/>
      <c r="FQ749" s="1286"/>
      <c r="FR749" s="1286"/>
      <c r="FS749" s="1287"/>
      <c r="FT749" s="1285" t="str">
        <f t="shared" si="36"/>
        <v/>
      </c>
      <c r="FU749" s="1286"/>
      <c r="FV749" s="1286"/>
      <c r="FW749" s="1286"/>
      <c r="FX749" s="1287"/>
      <c r="FY749" s="1285" t="str">
        <f t="shared" si="37"/>
        <v/>
      </c>
      <c r="FZ749" s="1286"/>
      <c r="GA749" s="1286"/>
      <c r="GB749" s="1286"/>
      <c r="GC749" s="1287"/>
    </row>
    <row r="750" spans="1:185" ht="12.95" customHeight="1">
      <c r="B750" s="1290"/>
      <c r="C750" s="1291"/>
      <c r="D750" s="1291"/>
      <c r="E750" s="1291"/>
      <c r="F750" s="1292"/>
      <c r="G750" s="1518"/>
      <c r="H750" s="1519"/>
      <c r="I750" s="1519"/>
      <c r="J750" s="1520"/>
      <c r="K750" s="1525"/>
      <c r="L750" s="1526"/>
      <c r="M750" s="1526"/>
      <c r="N750" s="1527"/>
      <c r="O750" s="1296"/>
      <c r="P750" s="1297"/>
      <c r="Q750" s="1297"/>
      <c r="R750" s="1297"/>
      <c r="S750" s="1298"/>
      <c r="T750" s="1296"/>
      <c r="U750" s="1297"/>
      <c r="V750" s="1297"/>
      <c r="W750" s="1298"/>
      <c r="X750" s="1299">
        <f t="shared" ref="X750:X759" si="41">O750+T750</f>
        <v>0</v>
      </c>
      <c r="Y750" s="1300"/>
      <c r="Z750" s="1300"/>
      <c r="AA750" s="1300"/>
      <c r="AB750" s="1301"/>
      <c r="AC750" s="1293"/>
      <c r="AD750" s="1294"/>
      <c r="AE750" s="1294"/>
      <c r="AF750" s="1294"/>
      <c r="AG750" s="1295"/>
      <c r="AH750" s="1302" t="str">
        <f t="shared" si="38"/>
        <v/>
      </c>
      <c r="AI750" s="1303"/>
      <c r="AJ750" s="1304"/>
      <c r="AK750" s="1290" t="s">
        <v>591</v>
      </c>
      <c r="AL750" s="1291"/>
      <c r="AM750" s="1291"/>
      <c r="AN750" s="1291"/>
      <c r="AO750" s="1292"/>
      <c r="AP750" s="3"/>
      <c r="AQ750" s="3"/>
      <c r="AR750" s="3"/>
      <c r="AS750" s="3"/>
      <c r="AY750" s="1080"/>
      <c r="AZ750" s="118" t="str">
        <f t="shared" si="11"/>
        <v>N/A</v>
      </c>
      <c r="BA750" s="3"/>
      <c r="BB750" s="3"/>
      <c r="BE750" s="204"/>
      <c r="BF750" s="294">
        <f t="shared" si="12"/>
        <v>0</v>
      </c>
      <c r="BG750" s="297">
        <f t="shared" si="13"/>
        <v>0</v>
      </c>
      <c r="BH750" s="298" t="str">
        <f t="shared" si="14"/>
        <v/>
      </c>
      <c r="BL750" s="3"/>
      <c r="BM750" s="3"/>
      <c r="BN750" s="3"/>
      <c r="BS750" s="294">
        <f t="shared" si="15"/>
        <v>0</v>
      </c>
      <c r="BT750" s="297">
        <f t="shared" si="16"/>
        <v>0</v>
      </c>
      <c r="BU750" s="298" t="str">
        <f t="shared" si="17"/>
        <v/>
      </c>
      <c r="BV750" s="3"/>
      <c r="BW750" s="3"/>
      <c r="BX750" s="3"/>
      <c r="BY750" s="3"/>
      <c r="BZ750" s="3"/>
      <c r="CA750" s="3"/>
      <c r="CB750" s="3"/>
      <c r="CC750" s="3"/>
      <c r="CE750" s="3"/>
      <c r="CF750" s="3"/>
      <c r="CG750" s="1285">
        <f t="shared" si="39"/>
        <v>0</v>
      </c>
      <c r="CH750" s="1287"/>
      <c r="CI750" s="1269">
        <f t="shared" si="40"/>
        <v>0</v>
      </c>
      <c r="CJ750" s="1271"/>
      <c r="CK750" s="1285">
        <f t="shared" si="18"/>
        <v>0</v>
      </c>
      <c r="CL750" s="1287"/>
      <c r="CM750" s="1269">
        <f t="shared" si="19"/>
        <v>0</v>
      </c>
      <c r="CN750" s="1271"/>
      <c r="CO750" s="3"/>
      <c r="CP750" s="1266">
        <f t="shared" si="20"/>
        <v>0</v>
      </c>
      <c r="CQ750" s="1267"/>
      <c r="CR750" s="1267"/>
      <c r="CS750" s="1267"/>
      <c r="CT750" s="1268"/>
      <c r="CU750" s="1288">
        <f t="shared" si="21"/>
        <v>0</v>
      </c>
      <c r="CV750" s="1288"/>
      <c r="CW750" s="1288"/>
      <c r="CX750" s="1288"/>
      <c r="CY750" s="1288"/>
      <c r="CZ750" s="1288">
        <f t="shared" si="22"/>
        <v>0</v>
      </c>
      <c r="DA750" s="1288"/>
      <c r="DB750" s="1288"/>
      <c r="DC750" s="1288"/>
      <c r="DD750" s="1288"/>
      <c r="DE750" s="1288">
        <f t="shared" si="23"/>
        <v>0</v>
      </c>
      <c r="DF750" s="1288"/>
      <c r="DG750" s="1288"/>
      <c r="DH750" s="1288"/>
      <c r="DI750" s="1288"/>
      <c r="DJ750" s="1288">
        <f t="shared" si="24"/>
        <v>0</v>
      </c>
      <c r="DK750" s="1288"/>
      <c r="DL750" s="1288"/>
      <c r="DM750" s="1288"/>
      <c r="DN750" s="1288"/>
      <c r="DO750" s="1288">
        <f t="shared" si="25"/>
        <v>0</v>
      </c>
      <c r="DP750" s="1288"/>
      <c r="DQ750" s="1288"/>
      <c r="DR750" s="1288"/>
      <c r="DS750" s="1288"/>
      <c r="DT750" s="6"/>
      <c r="DU750" s="1306">
        <f t="shared" si="26"/>
        <v>0</v>
      </c>
      <c r="DV750" s="1306"/>
      <c r="DW750" s="1306"/>
      <c r="DX750" s="1306"/>
      <c r="DY750" s="1306"/>
      <c r="DZ750" s="1306">
        <f t="shared" si="27"/>
        <v>0</v>
      </c>
      <c r="EA750" s="1306"/>
      <c r="EB750" s="1306"/>
      <c r="EC750" s="1306"/>
      <c r="ED750" s="1306"/>
      <c r="EE750" s="1306">
        <f t="shared" si="28"/>
        <v>0</v>
      </c>
      <c r="EF750" s="1306"/>
      <c r="EG750" s="1306"/>
      <c r="EH750" s="1306"/>
      <c r="EI750" s="1306"/>
      <c r="EJ750" s="1306">
        <f t="shared" si="29"/>
        <v>0</v>
      </c>
      <c r="EK750" s="1306"/>
      <c r="EL750" s="1306"/>
      <c r="EM750" s="1306"/>
      <c r="EN750" s="1306"/>
      <c r="EO750" s="1306">
        <f t="shared" si="30"/>
        <v>0</v>
      </c>
      <c r="EP750" s="1306"/>
      <c r="EQ750" s="1306"/>
      <c r="ER750" s="1306"/>
      <c r="ES750" s="1306"/>
      <c r="ET750" s="1306">
        <f t="shared" si="31"/>
        <v>0</v>
      </c>
      <c r="EU750" s="1306"/>
      <c r="EV750" s="1306"/>
      <c r="EW750" s="1306"/>
      <c r="EX750" s="1306"/>
      <c r="EZ750" s="1285" t="str">
        <f t="shared" si="32"/>
        <v/>
      </c>
      <c r="FA750" s="1286"/>
      <c r="FB750" s="1286"/>
      <c r="FC750" s="1286"/>
      <c r="FD750" s="1287"/>
      <c r="FE750" s="1285" t="str">
        <f t="shared" si="33"/>
        <v/>
      </c>
      <c r="FF750" s="1286"/>
      <c r="FG750" s="1286"/>
      <c r="FH750" s="1286"/>
      <c r="FI750" s="1287"/>
      <c r="FJ750" s="1285" t="str">
        <f t="shared" si="34"/>
        <v/>
      </c>
      <c r="FK750" s="1286"/>
      <c r="FL750" s="1286"/>
      <c r="FM750" s="1286"/>
      <c r="FN750" s="1287"/>
      <c r="FO750" s="1285" t="str">
        <f t="shared" si="35"/>
        <v/>
      </c>
      <c r="FP750" s="1286"/>
      <c r="FQ750" s="1286"/>
      <c r="FR750" s="1286"/>
      <c r="FS750" s="1287"/>
      <c r="FT750" s="1285" t="str">
        <f t="shared" si="36"/>
        <v/>
      </c>
      <c r="FU750" s="1286"/>
      <c r="FV750" s="1286"/>
      <c r="FW750" s="1286"/>
      <c r="FX750" s="1287"/>
      <c r="FY750" s="1285" t="str">
        <f t="shared" si="37"/>
        <v/>
      </c>
      <c r="FZ750" s="1286"/>
      <c r="GA750" s="1286"/>
      <c r="GB750" s="1286"/>
      <c r="GC750" s="1287"/>
    </row>
    <row r="751" spans="1:185" s="3" customFormat="1" ht="12.95" customHeight="1">
      <c r="A751"/>
      <c r="B751" s="1290"/>
      <c r="C751" s="1291"/>
      <c r="D751" s="1291"/>
      <c r="E751" s="1291"/>
      <c r="F751" s="1292"/>
      <c r="G751" s="1518"/>
      <c r="H751" s="1519"/>
      <c r="I751" s="1519"/>
      <c r="J751" s="1520"/>
      <c r="K751" s="1525"/>
      <c r="L751" s="1526"/>
      <c r="M751" s="1526"/>
      <c r="N751" s="1527"/>
      <c r="O751" s="1296"/>
      <c r="P751" s="1297"/>
      <c r="Q751" s="1297"/>
      <c r="R751" s="1297"/>
      <c r="S751" s="1298"/>
      <c r="T751" s="1296"/>
      <c r="U751" s="1297"/>
      <c r="V751" s="1297"/>
      <c r="W751" s="1298"/>
      <c r="X751" s="1299">
        <f t="shared" si="41"/>
        <v>0</v>
      </c>
      <c r="Y751" s="1300"/>
      <c r="Z751" s="1300"/>
      <c r="AA751" s="1300"/>
      <c r="AB751" s="1301"/>
      <c r="AC751" s="1293"/>
      <c r="AD751" s="1294"/>
      <c r="AE751" s="1294"/>
      <c r="AF751" s="1294"/>
      <c r="AG751" s="1295"/>
      <c r="AH751" s="1302" t="str">
        <f t="shared" si="38"/>
        <v/>
      </c>
      <c r="AI751" s="1303"/>
      <c r="AJ751" s="1304"/>
      <c r="AK751" s="1290" t="s">
        <v>591</v>
      </c>
      <c r="AL751" s="1291"/>
      <c r="AM751" s="1291"/>
      <c r="AN751" s="1291"/>
      <c r="AO751" s="1292"/>
      <c r="AT751"/>
      <c r="AU751"/>
      <c r="AV751"/>
      <c r="AW751"/>
      <c r="AX751"/>
      <c r="AY751" s="1080"/>
      <c r="AZ751" s="118" t="str">
        <f t="shared" si="11"/>
        <v>N/A</v>
      </c>
      <c r="BD751"/>
      <c r="BE751"/>
      <c r="BF751" s="294">
        <f t="shared" si="12"/>
        <v>0</v>
      </c>
      <c r="BG751" s="297">
        <f t="shared" si="13"/>
        <v>0</v>
      </c>
      <c r="BH751" s="298" t="str">
        <f t="shared" si="14"/>
        <v/>
      </c>
      <c r="BI751"/>
      <c r="BJ751"/>
      <c r="BK751"/>
      <c r="BL751"/>
      <c r="BM751"/>
      <c r="BN751"/>
      <c r="BO751"/>
      <c r="BP751"/>
      <c r="BQ751"/>
      <c r="BR751"/>
      <c r="BS751" s="294">
        <f t="shared" si="15"/>
        <v>0</v>
      </c>
      <c r="BT751" s="297">
        <f t="shared" si="16"/>
        <v>0</v>
      </c>
      <c r="BU751" s="298" t="str">
        <f t="shared" si="17"/>
        <v/>
      </c>
      <c r="CD751"/>
      <c r="CG751" s="1285">
        <f t="shared" si="39"/>
        <v>0</v>
      </c>
      <c r="CH751" s="1287"/>
      <c r="CI751" s="1269">
        <f t="shared" si="40"/>
        <v>0</v>
      </c>
      <c r="CJ751" s="1271"/>
      <c r="CK751" s="1285">
        <f t="shared" si="18"/>
        <v>0</v>
      </c>
      <c r="CL751" s="1287"/>
      <c r="CM751" s="1269">
        <f t="shared" si="19"/>
        <v>0</v>
      </c>
      <c r="CN751" s="1271"/>
      <c r="CP751" s="1266">
        <f t="shared" si="20"/>
        <v>0</v>
      </c>
      <c r="CQ751" s="1267"/>
      <c r="CR751" s="1267"/>
      <c r="CS751" s="1267"/>
      <c r="CT751" s="1268"/>
      <c r="CU751" s="1288">
        <f t="shared" si="21"/>
        <v>0</v>
      </c>
      <c r="CV751" s="1288"/>
      <c r="CW751" s="1288"/>
      <c r="CX751" s="1288"/>
      <c r="CY751" s="1288"/>
      <c r="CZ751" s="1288">
        <f t="shared" si="22"/>
        <v>0</v>
      </c>
      <c r="DA751" s="1288"/>
      <c r="DB751" s="1288"/>
      <c r="DC751" s="1288"/>
      <c r="DD751" s="1288"/>
      <c r="DE751" s="1288">
        <f t="shared" si="23"/>
        <v>0</v>
      </c>
      <c r="DF751" s="1288"/>
      <c r="DG751" s="1288"/>
      <c r="DH751" s="1288"/>
      <c r="DI751" s="1288"/>
      <c r="DJ751" s="1288">
        <f t="shared" si="24"/>
        <v>0</v>
      </c>
      <c r="DK751" s="1288"/>
      <c r="DL751" s="1288"/>
      <c r="DM751" s="1288"/>
      <c r="DN751" s="1288"/>
      <c r="DO751" s="1288">
        <f t="shared" si="25"/>
        <v>0</v>
      </c>
      <c r="DP751" s="1288"/>
      <c r="DQ751" s="1288"/>
      <c r="DR751" s="1288"/>
      <c r="DS751" s="1288"/>
      <c r="DT751" s="6"/>
      <c r="DU751" s="1306">
        <f t="shared" si="26"/>
        <v>0</v>
      </c>
      <c r="DV751" s="1306"/>
      <c r="DW751" s="1306"/>
      <c r="DX751" s="1306"/>
      <c r="DY751" s="1306"/>
      <c r="DZ751" s="1306">
        <f t="shared" si="27"/>
        <v>0</v>
      </c>
      <c r="EA751" s="1306"/>
      <c r="EB751" s="1306"/>
      <c r="EC751" s="1306"/>
      <c r="ED751" s="1306"/>
      <c r="EE751" s="1306">
        <f t="shared" si="28"/>
        <v>0</v>
      </c>
      <c r="EF751" s="1306"/>
      <c r="EG751" s="1306"/>
      <c r="EH751" s="1306"/>
      <c r="EI751" s="1306"/>
      <c r="EJ751" s="1306">
        <f t="shared" si="29"/>
        <v>0</v>
      </c>
      <c r="EK751" s="1306"/>
      <c r="EL751" s="1306"/>
      <c r="EM751" s="1306"/>
      <c r="EN751" s="1306"/>
      <c r="EO751" s="1306">
        <f t="shared" si="30"/>
        <v>0</v>
      </c>
      <c r="EP751" s="1306"/>
      <c r="EQ751" s="1306"/>
      <c r="ER751" s="1306"/>
      <c r="ES751" s="1306"/>
      <c r="ET751" s="1306">
        <f t="shared" si="31"/>
        <v>0</v>
      </c>
      <c r="EU751" s="1306"/>
      <c r="EV751" s="1306"/>
      <c r="EW751" s="1306"/>
      <c r="EX751" s="1306"/>
      <c r="EY751"/>
      <c r="EZ751" s="1285" t="str">
        <f t="shared" si="32"/>
        <v/>
      </c>
      <c r="FA751" s="1286"/>
      <c r="FB751" s="1286"/>
      <c r="FC751" s="1286"/>
      <c r="FD751" s="1287"/>
      <c r="FE751" s="1285" t="str">
        <f t="shared" si="33"/>
        <v/>
      </c>
      <c r="FF751" s="1286"/>
      <c r="FG751" s="1286"/>
      <c r="FH751" s="1286"/>
      <c r="FI751" s="1287"/>
      <c r="FJ751" s="1285" t="str">
        <f t="shared" si="34"/>
        <v/>
      </c>
      <c r="FK751" s="1286"/>
      <c r="FL751" s="1286"/>
      <c r="FM751" s="1286"/>
      <c r="FN751" s="1287"/>
      <c r="FO751" s="1285" t="str">
        <f t="shared" si="35"/>
        <v/>
      </c>
      <c r="FP751" s="1286"/>
      <c r="FQ751" s="1286"/>
      <c r="FR751" s="1286"/>
      <c r="FS751" s="1287"/>
      <c r="FT751" s="1285" t="str">
        <f t="shared" si="36"/>
        <v/>
      </c>
      <c r="FU751" s="1286"/>
      <c r="FV751" s="1286"/>
      <c r="FW751" s="1286"/>
      <c r="FX751" s="1287"/>
      <c r="FY751" s="1285" t="str">
        <f t="shared" si="37"/>
        <v/>
      </c>
      <c r="FZ751" s="1286"/>
      <c r="GA751" s="1286"/>
      <c r="GB751" s="1286"/>
      <c r="GC751" s="1287"/>
    </row>
    <row r="752" spans="1:185" ht="12.95" customHeight="1">
      <c r="B752" s="1290"/>
      <c r="C752" s="1291"/>
      <c r="D752" s="1291"/>
      <c r="E752" s="1291"/>
      <c r="F752" s="1292"/>
      <c r="G752" s="1518"/>
      <c r="H752" s="1519"/>
      <c r="I752" s="1519"/>
      <c r="J752" s="1520"/>
      <c r="K752" s="1525"/>
      <c r="L752" s="1526"/>
      <c r="M752" s="1526"/>
      <c r="N752" s="1527"/>
      <c r="O752" s="1296"/>
      <c r="P752" s="1297"/>
      <c r="Q752" s="1297"/>
      <c r="R752" s="1297"/>
      <c r="S752" s="1298"/>
      <c r="T752" s="1296"/>
      <c r="U752" s="1297"/>
      <c r="V752" s="1297"/>
      <c r="W752" s="1298"/>
      <c r="X752" s="1299">
        <f t="shared" si="41"/>
        <v>0</v>
      </c>
      <c r="Y752" s="1300"/>
      <c r="Z752" s="1300"/>
      <c r="AA752" s="1300"/>
      <c r="AB752" s="1301"/>
      <c r="AC752" s="1293"/>
      <c r="AD752" s="1294"/>
      <c r="AE752" s="1294"/>
      <c r="AF752" s="1294"/>
      <c r="AG752" s="1295"/>
      <c r="AH752" s="1302" t="str">
        <f t="shared" si="38"/>
        <v/>
      </c>
      <c r="AI752" s="1303"/>
      <c r="AJ752" s="1304"/>
      <c r="AK752" s="1290" t="s">
        <v>591</v>
      </c>
      <c r="AL752" s="1291"/>
      <c r="AM752" s="1291"/>
      <c r="AN752" s="1291"/>
      <c r="AO752" s="1292"/>
      <c r="AP752" s="3"/>
      <c r="AQ752" s="3"/>
      <c r="AR752" s="3"/>
      <c r="AS752" s="3"/>
      <c r="AY752" s="1080"/>
      <c r="AZ752" s="118" t="str">
        <f t="shared" si="11"/>
        <v>N/A</v>
      </c>
      <c r="BA752" s="3"/>
      <c r="BB752" s="3"/>
      <c r="BC752" s="3"/>
      <c r="BD752" s="3"/>
      <c r="BE752" s="3"/>
      <c r="BF752" s="294">
        <f t="shared" si="12"/>
        <v>0</v>
      </c>
      <c r="BG752" s="297">
        <f t="shared" si="13"/>
        <v>0</v>
      </c>
      <c r="BH752" s="298" t="str">
        <f t="shared" si="14"/>
        <v/>
      </c>
      <c r="BI752" s="3"/>
      <c r="BJ752" s="3"/>
      <c r="BK752" s="3"/>
      <c r="BL752" s="3"/>
      <c r="BM752" s="3"/>
      <c r="BN752" s="3"/>
      <c r="BS752" s="294">
        <f t="shared" si="15"/>
        <v>0</v>
      </c>
      <c r="BT752" s="297">
        <f t="shared" si="16"/>
        <v>0</v>
      </c>
      <c r="BU752" s="298" t="str">
        <f t="shared" si="17"/>
        <v/>
      </c>
      <c r="BV752" s="3"/>
      <c r="BW752" s="3"/>
      <c r="BX752" s="3"/>
      <c r="BY752" s="3"/>
      <c r="BZ752" s="3"/>
      <c r="CA752" s="3"/>
      <c r="CB752" s="3"/>
      <c r="CC752" s="3"/>
      <c r="CE752" s="3"/>
      <c r="CF752" s="3"/>
      <c r="CG752" s="1285">
        <f t="shared" si="39"/>
        <v>0</v>
      </c>
      <c r="CH752" s="1287"/>
      <c r="CI752" s="1269">
        <f t="shared" si="40"/>
        <v>0</v>
      </c>
      <c r="CJ752" s="1271"/>
      <c r="CK752" s="1285">
        <f t="shared" si="18"/>
        <v>0</v>
      </c>
      <c r="CL752" s="1287"/>
      <c r="CM752" s="1269">
        <f t="shared" si="19"/>
        <v>0</v>
      </c>
      <c r="CN752" s="1271"/>
      <c r="CO752" s="3"/>
      <c r="CP752" s="1266">
        <f t="shared" si="20"/>
        <v>0</v>
      </c>
      <c r="CQ752" s="1267"/>
      <c r="CR752" s="1267"/>
      <c r="CS752" s="1267"/>
      <c r="CT752" s="1268"/>
      <c r="CU752" s="1288">
        <f t="shared" si="21"/>
        <v>0</v>
      </c>
      <c r="CV752" s="1288"/>
      <c r="CW752" s="1288"/>
      <c r="CX752" s="1288"/>
      <c r="CY752" s="1288"/>
      <c r="CZ752" s="1288">
        <f t="shared" si="22"/>
        <v>0</v>
      </c>
      <c r="DA752" s="1288"/>
      <c r="DB752" s="1288"/>
      <c r="DC752" s="1288"/>
      <c r="DD752" s="1288"/>
      <c r="DE752" s="1288">
        <f t="shared" si="23"/>
        <v>0</v>
      </c>
      <c r="DF752" s="1288"/>
      <c r="DG752" s="1288"/>
      <c r="DH752" s="1288"/>
      <c r="DI752" s="1288"/>
      <c r="DJ752" s="1288">
        <f t="shared" si="24"/>
        <v>0</v>
      </c>
      <c r="DK752" s="1288"/>
      <c r="DL752" s="1288"/>
      <c r="DM752" s="1288"/>
      <c r="DN752" s="1288"/>
      <c r="DO752" s="1288">
        <f t="shared" si="25"/>
        <v>0</v>
      </c>
      <c r="DP752" s="1288"/>
      <c r="DQ752" s="1288"/>
      <c r="DR752" s="1288"/>
      <c r="DS752" s="1288"/>
      <c r="DT752" s="6"/>
      <c r="DU752" s="1306">
        <f t="shared" si="26"/>
        <v>0</v>
      </c>
      <c r="DV752" s="1306"/>
      <c r="DW752" s="1306"/>
      <c r="DX752" s="1306"/>
      <c r="DY752" s="1306"/>
      <c r="DZ752" s="1306">
        <f t="shared" si="27"/>
        <v>0</v>
      </c>
      <c r="EA752" s="1306"/>
      <c r="EB752" s="1306"/>
      <c r="EC752" s="1306"/>
      <c r="ED752" s="1306"/>
      <c r="EE752" s="1306">
        <f t="shared" si="28"/>
        <v>0</v>
      </c>
      <c r="EF752" s="1306"/>
      <c r="EG752" s="1306"/>
      <c r="EH752" s="1306"/>
      <c r="EI752" s="1306"/>
      <c r="EJ752" s="1306">
        <f t="shared" si="29"/>
        <v>0</v>
      </c>
      <c r="EK752" s="1306"/>
      <c r="EL752" s="1306"/>
      <c r="EM752" s="1306"/>
      <c r="EN752" s="1306"/>
      <c r="EO752" s="1306">
        <f t="shared" si="30"/>
        <v>0</v>
      </c>
      <c r="EP752" s="1306"/>
      <c r="EQ752" s="1306"/>
      <c r="ER752" s="1306"/>
      <c r="ES752" s="1306"/>
      <c r="ET752" s="1306">
        <f t="shared" si="31"/>
        <v>0</v>
      </c>
      <c r="EU752" s="1306"/>
      <c r="EV752" s="1306"/>
      <c r="EW752" s="1306"/>
      <c r="EX752" s="1306"/>
      <c r="EZ752" s="1285" t="str">
        <f t="shared" si="32"/>
        <v/>
      </c>
      <c r="FA752" s="1286"/>
      <c r="FB752" s="1286"/>
      <c r="FC752" s="1286"/>
      <c r="FD752" s="1287"/>
      <c r="FE752" s="1285" t="str">
        <f t="shared" si="33"/>
        <v/>
      </c>
      <c r="FF752" s="1286"/>
      <c r="FG752" s="1286"/>
      <c r="FH752" s="1286"/>
      <c r="FI752" s="1287"/>
      <c r="FJ752" s="1285" t="str">
        <f t="shared" si="34"/>
        <v/>
      </c>
      <c r="FK752" s="1286"/>
      <c r="FL752" s="1286"/>
      <c r="FM752" s="1286"/>
      <c r="FN752" s="1287"/>
      <c r="FO752" s="1285" t="str">
        <f t="shared" si="35"/>
        <v/>
      </c>
      <c r="FP752" s="1286"/>
      <c r="FQ752" s="1286"/>
      <c r="FR752" s="1286"/>
      <c r="FS752" s="1287"/>
      <c r="FT752" s="1285" t="str">
        <f t="shared" si="36"/>
        <v/>
      </c>
      <c r="FU752" s="1286"/>
      <c r="FV752" s="1286"/>
      <c r="FW752" s="1286"/>
      <c r="FX752" s="1287"/>
      <c r="FY752" s="1285" t="str">
        <f t="shared" si="37"/>
        <v/>
      </c>
      <c r="FZ752" s="1286"/>
      <c r="GA752" s="1286"/>
      <c r="GB752" s="1286"/>
      <c r="GC752" s="1287"/>
    </row>
    <row r="753" spans="1:185" ht="12.95" customHeight="1">
      <c r="B753" s="1290"/>
      <c r="C753" s="1291"/>
      <c r="D753" s="1291"/>
      <c r="E753" s="1291"/>
      <c r="F753" s="1292"/>
      <c r="G753" s="1518"/>
      <c r="H753" s="1519"/>
      <c r="I753" s="1519"/>
      <c r="J753" s="1520"/>
      <c r="K753" s="1525"/>
      <c r="L753" s="1526"/>
      <c r="M753" s="1526"/>
      <c r="N753" s="1527"/>
      <c r="O753" s="1296"/>
      <c r="P753" s="1297"/>
      <c r="Q753" s="1297"/>
      <c r="R753" s="1297"/>
      <c r="S753" s="1298"/>
      <c r="T753" s="1296"/>
      <c r="U753" s="1297"/>
      <c r="V753" s="1297"/>
      <c r="W753" s="1298"/>
      <c r="X753" s="1299">
        <f t="shared" si="41"/>
        <v>0</v>
      </c>
      <c r="Y753" s="1300"/>
      <c r="Z753" s="1300"/>
      <c r="AA753" s="1300"/>
      <c r="AB753" s="1301"/>
      <c r="AC753" s="1293"/>
      <c r="AD753" s="1294"/>
      <c r="AE753" s="1294"/>
      <c r="AF753" s="1294"/>
      <c r="AG753" s="1295"/>
      <c r="AH753" s="1302" t="str">
        <f t="shared" si="38"/>
        <v/>
      </c>
      <c r="AI753" s="1303"/>
      <c r="AJ753" s="1304"/>
      <c r="AK753" s="1290" t="s">
        <v>591</v>
      </c>
      <c r="AL753" s="1291"/>
      <c r="AM753" s="1291"/>
      <c r="AN753" s="1291"/>
      <c r="AO753" s="1292"/>
      <c r="AP753" s="3"/>
      <c r="AQ753" s="3"/>
      <c r="AR753" s="3"/>
      <c r="AS753" s="3"/>
      <c r="AY753" s="1080"/>
      <c r="AZ753" s="118" t="str">
        <f t="shared" si="11"/>
        <v>N/A</v>
      </c>
      <c r="BA753" s="3"/>
      <c r="BB753" s="3"/>
      <c r="BC753" s="3"/>
      <c r="BD753" s="3"/>
      <c r="BE753" s="3"/>
      <c r="BF753" s="294">
        <f t="shared" si="12"/>
        <v>0</v>
      </c>
      <c r="BG753" s="297">
        <f t="shared" si="13"/>
        <v>0</v>
      </c>
      <c r="BH753" s="298" t="str">
        <f t="shared" si="14"/>
        <v/>
      </c>
      <c r="BI753" s="3"/>
      <c r="BJ753" s="3"/>
      <c r="BK753" s="3"/>
      <c r="BL753" s="3"/>
      <c r="BM753" s="3"/>
      <c r="BN753" s="3"/>
      <c r="BS753" s="294">
        <f t="shared" si="15"/>
        <v>0</v>
      </c>
      <c r="BT753" s="297">
        <f t="shared" si="16"/>
        <v>0</v>
      </c>
      <c r="BU753" s="298" t="str">
        <f t="shared" si="17"/>
        <v/>
      </c>
      <c r="BV753" s="3"/>
      <c r="BW753" s="3"/>
      <c r="BX753" s="3"/>
      <c r="BY753" s="3"/>
      <c r="BZ753" s="3"/>
      <c r="CA753" s="3"/>
      <c r="CB753" s="3"/>
      <c r="CC753" s="3"/>
      <c r="CE753" s="3"/>
      <c r="CF753" s="3"/>
      <c r="CG753" s="1285">
        <f t="shared" si="39"/>
        <v>0</v>
      </c>
      <c r="CH753" s="1287"/>
      <c r="CI753" s="1269">
        <f t="shared" si="40"/>
        <v>0</v>
      </c>
      <c r="CJ753" s="1271"/>
      <c r="CK753" s="1285">
        <f t="shared" si="18"/>
        <v>0</v>
      </c>
      <c r="CL753" s="1287"/>
      <c r="CM753" s="1269">
        <f t="shared" si="19"/>
        <v>0</v>
      </c>
      <c r="CN753" s="1271"/>
      <c r="CO753" s="3"/>
      <c r="CP753" s="1266">
        <f t="shared" si="20"/>
        <v>0</v>
      </c>
      <c r="CQ753" s="1267"/>
      <c r="CR753" s="1267"/>
      <c r="CS753" s="1267"/>
      <c r="CT753" s="1268"/>
      <c r="CU753" s="1288">
        <f t="shared" si="21"/>
        <v>0</v>
      </c>
      <c r="CV753" s="1288"/>
      <c r="CW753" s="1288"/>
      <c r="CX753" s="1288"/>
      <c r="CY753" s="1288"/>
      <c r="CZ753" s="1288">
        <f t="shared" si="22"/>
        <v>0</v>
      </c>
      <c r="DA753" s="1288"/>
      <c r="DB753" s="1288"/>
      <c r="DC753" s="1288"/>
      <c r="DD753" s="1288"/>
      <c r="DE753" s="1288">
        <f t="shared" si="23"/>
        <v>0</v>
      </c>
      <c r="DF753" s="1288"/>
      <c r="DG753" s="1288"/>
      <c r="DH753" s="1288"/>
      <c r="DI753" s="1288"/>
      <c r="DJ753" s="1288">
        <f t="shared" si="24"/>
        <v>0</v>
      </c>
      <c r="DK753" s="1288"/>
      <c r="DL753" s="1288"/>
      <c r="DM753" s="1288"/>
      <c r="DN753" s="1288"/>
      <c r="DO753" s="1288">
        <f t="shared" si="25"/>
        <v>0</v>
      </c>
      <c r="DP753" s="1288"/>
      <c r="DQ753" s="1288"/>
      <c r="DR753" s="1288"/>
      <c r="DS753" s="1288"/>
      <c r="DT753" s="6"/>
      <c r="DU753" s="1306">
        <f t="shared" si="26"/>
        <v>0</v>
      </c>
      <c r="DV753" s="1306"/>
      <c r="DW753" s="1306"/>
      <c r="DX753" s="1306"/>
      <c r="DY753" s="1306"/>
      <c r="DZ753" s="1306">
        <f t="shared" si="27"/>
        <v>0</v>
      </c>
      <c r="EA753" s="1306"/>
      <c r="EB753" s="1306"/>
      <c r="EC753" s="1306"/>
      <c r="ED753" s="1306"/>
      <c r="EE753" s="1306">
        <f t="shared" si="28"/>
        <v>0</v>
      </c>
      <c r="EF753" s="1306"/>
      <c r="EG753" s="1306"/>
      <c r="EH753" s="1306"/>
      <c r="EI753" s="1306"/>
      <c r="EJ753" s="1306">
        <f t="shared" si="29"/>
        <v>0</v>
      </c>
      <c r="EK753" s="1306"/>
      <c r="EL753" s="1306"/>
      <c r="EM753" s="1306"/>
      <c r="EN753" s="1306"/>
      <c r="EO753" s="1306">
        <f t="shared" si="30"/>
        <v>0</v>
      </c>
      <c r="EP753" s="1306"/>
      <c r="EQ753" s="1306"/>
      <c r="ER753" s="1306"/>
      <c r="ES753" s="1306"/>
      <c r="ET753" s="1306">
        <f t="shared" si="31"/>
        <v>0</v>
      </c>
      <c r="EU753" s="1306"/>
      <c r="EV753" s="1306"/>
      <c r="EW753" s="1306"/>
      <c r="EX753" s="1306"/>
      <c r="EZ753" s="1285" t="str">
        <f t="shared" si="32"/>
        <v/>
      </c>
      <c r="FA753" s="1286"/>
      <c r="FB753" s="1286"/>
      <c r="FC753" s="1286"/>
      <c r="FD753" s="1287"/>
      <c r="FE753" s="1285" t="str">
        <f t="shared" si="33"/>
        <v/>
      </c>
      <c r="FF753" s="1286"/>
      <c r="FG753" s="1286"/>
      <c r="FH753" s="1286"/>
      <c r="FI753" s="1287"/>
      <c r="FJ753" s="1285" t="str">
        <f t="shared" si="34"/>
        <v/>
      </c>
      <c r="FK753" s="1286"/>
      <c r="FL753" s="1286"/>
      <c r="FM753" s="1286"/>
      <c r="FN753" s="1287"/>
      <c r="FO753" s="1285" t="str">
        <f t="shared" si="35"/>
        <v/>
      </c>
      <c r="FP753" s="1286"/>
      <c r="FQ753" s="1286"/>
      <c r="FR753" s="1286"/>
      <c r="FS753" s="1287"/>
      <c r="FT753" s="1285" t="str">
        <f t="shared" si="36"/>
        <v/>
      </c>
      <c r="FU753" s="1286"/>
      <c r="FV753" s="1286"/>
      <c r="FW753" s="1286"/>
      <c r="FX753" s="1287"/>
      <c r="FY753" s="1285" t="str">
        <f t="shared" si="37"/>
        <v/>
      </c>
      <c r="FZ753" s="1286"/>
      <c r="GA753" s="1286"/>
      <c r="GB753" s="1286"/>
      <c r="GC753" s="1287"/>
    </row>
    <row r="754" spans="1:185" ht="12.95" customHeight="1">
      <c r="B754" s="1290"/>
      <c r="C754" s="1291"/>
      <c r="D754" s="1291"/>
      <c r="E754" s="1291"/>
      <c r="F754" s="1292"/>
      <c r="G754" s="1518"/>
      <c r="H754" s="1519"/>
      <c r="I754" s="1519"/>
      <c r="J754" s="1520"/>
      <c r="K754" s="1525"/>
      <c r="L754" s="1526"/>
      <c r="M754" s="1526"/>
      <c r="N754" s="1527"/>
      <c r="O754" s="1296"/>
      <c r="P754" s="1297"/>
      <c r="Q754" s="1297"/>
      <c r="R754" s="1297"/>
      <c r="S754" s="1298"/>
      <c r="T754" s="1296"/>
      <c r="U754" s="1297"/>
      <c r="V754" s="1297"/>
      <c r="W754" s="1298"/>
      <c r="X754" s="1299">
        <f t="shared" si="41"/>
        <v>0</v>
      </c>
      <c r="Y754" s="1300"/>
      <c r="Z754" s="1300"/>
      <c r="AA754" s="1300"/>
      <c r="AB754" s="1301"/>
      <c r="AC754" s="1293"/>
      <c r="AD754" s="1294"/>
      <c r="AE754" s="1294"/>
      <c r="AF754" s="1294"/>
      <c r="AG754" s="1295"/>
      <c r="AH754" s="1302" t="str">
        <f t="shared" si="38"/>
        <v/>
      </c>
      <c r="AI754" s="1303"/>
      <c r="AJ754" s="1304"/>
      <c r="AK754" s="1290" t="s">
        <v>591</v>
      </c>
      <c r="AL754" s="1291"/>
      <c r="AM754" s="1291"/>
      <c r="AN754" s="1291"/>
      <c r="AO754" s="1292"/>
      <c r="AP754" s="3"/>
      <c r="AQ754" s="3"/>
      <c r="AR754" s="3"/>
      <c r="AS754" s="3"/>
      <c r="AY754" s="1080"/>
      <c r="AZ754" s="118" t="str">
        <f t="shared" si="11"/>
        <v>N/A</v>
      </c>
      <c r="BA754" s="34"/>
      <c r="BB754" s="34"/>
      <c r="BC754" s="34"/>
      <c r="BD754" s="34"/>
      <c r="BE754" s="34"/>
      <c r="BF754" s="294">
        <f t="shared" si="12"/>
        <v>0</v>
      </c>
      <c r="BG754" s="297">
        <f t="shared" si="13"/>
        <v>0</v>
      </c>
      <c r="BH754" s="298" t="str">
        <f t="shared" si="14"/>
        <v/>
      </c>
      <c r="BI754" s="34"/>
      <c r="BJ754" s="34"/>
      <c r="BK754" s="34"/>
      <c r="BL754" s="34"/>
      <c r="BM754" s="34"/>
      <c r="BN754" s="34"/>
      <c r="BS754" s="294">
        <f t="shared" si="15"/>
        <v>0</v>
      </c>
      <c r="BT754" s="297">
        <f t="shared" si="16"/>
        <v>0</v>
      </c>
      <c r="BU754" s="298" t="str">
        <f t="shared" si="17"/>
        <v/>
      </c>
      <c r="BV754" s="3"/>
      <c r="BW754" s="3"/>
      <c r="BX754" s="3"/>
      <c r="BY754" s="3"/>
      <c r="BZ754" s="3"/>
      <c r="CA754" s="3"/>
      <c r="CB754" s="3"/>
      <c r="CC754" s="3"/>
      <c r="CE754" s="3"/>
      <c r="CF754" s="3"/>
      <c r="CG754" s="1285">
        <f t="shared" si="39"/>
        <v>0</v>
      </c>
      <c r="CH754" s="1287"/>
      <c r="CI754" s="1269">
        <f t="shared" si="40"/>
        <v>0</v>
      </c>
      <c r="CJ754" s="1271"/>
      <c r="CK754" s="1285">
        <f t="shared" si="18"/>
        <v>0</v>
      </c>
      <c r="CL754" s="1287"/>
      <c r="CM754" s="1269">
        <f t="shared" si="19"/>
        <v>0</v>
      </c>
      <c r="CN754" s="1271"/>
      <c r="CO754" s="3"/>
      <c r="CP754" s="1266">
        <f t="shared" si="20"/>
        <v>0</v>
      </c>
      <c r="CQ754" s="1267"/>
      <c r="CR754" s="1267"/>
      <c r="CS754" s="1267"/>
      <c r="CT754" s="1268"/>
      <c r="CU754" s="1288">
        <f t="shared" si="21"/>
        <v>0</v>
      </c>
      <c r="CV754" s="1288"/>
      <c r="CW754" s="1288"/>
      <c r="CX754" s="1288"/>
      <c r="CY754" s="1288"/>
      <c r="CZ754" s="1288">
        <f t="shared" si="22"/>
        <v>0</v>
      </c>
      <c r="DA754" s="1288"/>
      <c r="DB754" s="1288"/>
      <c r="DC754" s="1288"/>
      <c r="DD754" s="1288"/>
      <c r="DE754" s="1288">
        <f t="shared" si="23"/>
        <v>0</v>
      </c>
      <c r="DF754" s="1288"/>
      <c r="DG754" s="1288"/>
      <c r="DH754" s="1288"/>
      <c r="DI754" s="1288"/>
      <c r="DJ754" s="1288">
        <f t="shared" si="24"/>
        <v>0</v>
      </c>
      <c r="DK754" s="1288"/>
      <c r="DL754" s="1288"/>
      <c r="DM754" s="1288"/>
      <c r="DN754" s="1288"/>
      <c r="DO754" s="1288">
        <f t="shared" si="25"/>
        <v>0</v>
      </c>
      <c r="DP754" s="1288"/>
      <c r="DQ754" s="1288"/>
      <c r="DR754" s="1288"/>
      <c r="DS754" s="1288"/>
      <c r="DT754" s="6"/>
      <c r="DU754" s="1306">
        <f t="shared" si="26"/>
        <v>0</v>
      </c>
      <c r="DV754" s="1306"/>
      <c r="DW754" s="1306"/>
      <c r="DX754" s="1306"/>
      <c r="DY754" s="1306"/>
      <c r="DZ754" s="1306">
        <f t="shared" si="27"/>
        <v>0</v>
      </c>
      <c r="EA754" s="1306"/>
      <c r="EB754" s="1306"/>
      <c r="EC754" s="1306"/>
      <c r="ED754" s="1306"/>
      <c r="EE754" s="1306">
        <f t="shared" si="28"/>
        <v>0</v>
      </c>
      <c r="EF754" s="1306"/>
      <c r="EG754" s="1306"/>
      <c r="EH754" s="1306"/>
      <c r="EI754" s="1306"/>
      <c r="EJ754" s="1306">
        <f t="shared" si="29"/>
        <v>0</v>
      </c>
      <c r="EK754" s="1306"/>
      <c r="EL754" s="1306"/>
      <c r="EM754" s="1306"/>
      <c r="EN754" s="1306"/>
      <c r="EO754" s="1306">
        <f t="shared" si="30"/>
        <v>0</v>
      </c>
      <c r="EP754" s="1306"/>
      <c r="EQ754" s="1306"/>
      <c r="ER754" s="1306"/>
      <c r="ES754" s="1306"/>
      <c r="ET754" s="1306">
        <f t="shared" si="31"/>
        <v>0</v>
      </c>
      <c r="EU754" s="1306"/>
      <c r="EV754" s="1306"/>
      <c r="EW754" s="1306"/>
      <c r="EX754" s="1306"/>
      <c r="EZ754" s="1285" t="str">
        <f t="shared" si="32"/>
        <v/>
      </c>
      <c r="FA754" s="1286"/>
      <c r="FB754" s="1286"/>
      <c r="FC754" s="1286"/>
      <c r="FD754" s="1287"/>
      <c r="FE754" s="1285" t="str">
        <f t="shared" si="33"/>
        <v/>
      </c>
      <c r="FF754" s="1286"/>
      <c r="FG754" s="1286"/>
      <c r="FH754" s="1286"/>
      <c r="FI754" s="1287"/>
      <c r="FJ754" s="1285" t="str">
        <f t="shared" si="34"/>
        <v/>
      </c>
      <c r="FK754" s="1286"/>
      <c r="FL754" s="1286"/>
      <c r="FM754" s="1286"/>
      <c r="FN754" s="1287"/>
      <c r="FO754" s="1285" t="str">
        <f t="shared" si="35"/>
        <v/>
      </c>
      <c r="FP754" s="1286"/>
      <c r="FQ754" s="1286"/>
      <c r="FR754" s="1286"/>
      <c r="FS754" s="1287"/>
      <c r="FT754" s="1285" t="str">
        <f t="shared" si="36"/>
        <v/>
      </c>
      <c r="FU754" s="1286"/>
      <c r="FV754" s="1286"/>
      <c r="FW754" s="1286"/>
      <c r="FX754" s="1287"/>
      <c r="FY754" s="1285" t="str">
        <f t="shared" si="37"/>
        <v/>
      </c>
      <c r="FZ754" s="1286"/>
      <c r="GA754" s="1286"/>
      <c r="GB754" s="1286"/>
      <c r="GC754" s="1287"/>
    </row>
    <row r="755" spans="1:185" ht="12.95" customHeight="1">
      <c r="B755" s="1290"/>
      <c r="C755" s="1291"/>
      <c r="D755" s="1291"/>
      <c r="E755" s="1291"/>
      <c r="F755" s="1292"/>
      <c r="G755" s="1518"/>
      <c r="H755" s="1519"/>
      <c r="I755" s="1519"/>
      <c r="J755" s="1520"/>
      <c r="K755" s="1525"/>
      <c r="L755" s="1526"/>
      <c r="M755" s="1526"/>
      <c r="N755" s="1527"/>
      <c r="O755" s="1296"/>
      <c r="P755" s="1297"/>
      <c r="Q755" s="1297"/>
      <c r="R755" s="1297"/>
      <c r="S755" s="1298"/>
      <c r="T755" s="1296"/>
      <c r="U755" s="1297"/>
      <c r="V755" s="1297"/>
      <c r="W755" s="1298"/>
      <c r="X755" s="1299">
        <f t="shared" si="41"/>
        <v>0</v>
      </c>
      <c r="Y755" s="1300"/>
      <c r="Z755" s="1300"/>
      <c r="AA755" s="1300"/>
      <c r="AB755" s="1301"/>
      <c r="AC755" s="1293"/>
      <c r="AD755" s="1294"/>
      <c r="AE755" s="1294"/>
      <c r="AF755" s="1294"/>
      <c r="AG755" s="1295"/>
      <c r="AH755" s="1302" t="str">
        <f t="shared" si="38"/>
        <v/>
      </c>
      <c r="AI755" s="1303"/>
      <c r="AJ755" s="1304"/>
      <c r="AK755" s="1290" t="s">
        <v>591</v>
      </c>
      <c r="AL755" s="1291"/>
      <c r="AM755" s="1291"/>
      <c r="AN755" s="1291"/>
      <c r="AO755" s="1292"/>
      <c r="AP755" s="3"/>
      <c r="AQ755" s="3"/>
      <c r="AR755" s="3"/>
      <c r="AS755" s="3"/>
      <c r="AY755" s="1080"/>
      <c r="AZ755" s="118" t="str">
        <f t="shared" si="11"/>
        <v>N/A</v>
      </c>
      <c r="BA755" s="34"/>
      <c r="BB755" s="34"/>
      <c r="BC755" s="34"/>
      <c r="BD755" s="34"/>
      <c r="BE755" s="34"/>
      <c r="BF755" s="294">
        <f t="shared" si="12"/>
        <v>0</v>
      </c>
      <c r="BG755" s="297">
        <f t="shared" si="13"/>
        <v>0</v>
      </c>
      <c r="BH755" s="298" t="str">
        <f t="shared" si="14"/>
        <v/>
      </c>
      <c r="BI755" s="34"/>
      <c r="BJ755" s="34"/>
      <c r="BK755" s="34"/>
      <c r="BL755" s="34"/>
      <c r="BM755" s="34"/>
      <c r="BN755" s="34"/>
      <c r="BS755" s="294">
        <f t="shared" si="15"/>
        <v>0</v>
      </c>
      <c r="BT755" s="297">
        <f t="shared" si="16"/>
        <v>0</v>
      </c>
      <c r="BU755" s="298" t="str">
        <f t="shared" si="17"/>
        <v/>
      </c>
      <c r="BV755" s="3"/>
      <c r="BW755" s="3"/>
      <c r="BX755" s="3"/>
      <c r="BY755" s="3"/>
      <c r="BZ755" s="3"/>
      <c r="CA755" s="3"/>
      <c r="CB755" s="3"/>
      <c r="CC755" s="3"/>
      <c r="CE755" s="3"/>
      <c r="CF755" s="3"/>
      <c r="CG755" s="1285">
        <f t="shared" si="39"/>
        <v>0</v>
      </c>
      <c r="CH755" s="1287"/>
      <c r="CI755" s="1269">
        <f t="shared" si="40"/>
        <v>0</v>
      </c>
      <c r="CJ755" s="1271"/>
      <c r="CK755" s="1285">
        <f t="shared" si="18"/>
        <v>0</v>
      </c>
      <c r="CL755" s="1287"/>
      <c r="CM755" s="1269">
        <f t="shared" si="19"/>
        <v>0</v>
      </c>
      <c r="CN755" s="1271"/>
      <c r="CO755" s="3"/>
      <c r="CP755" s="1266">
        <f t="shared" si="20"/>
        <v>0</v>
      </c>
      <c r="CQ755" s="1267"/>
      <c r="CR755" s="1267"/>
      <c r="CS755" s="1267"/>
      <c r="CT755" s="1268"/>
      <c r="CU755" s="1288">
        <f t="shared" si="21"/>
        <v>0</v>
      </c>
      <c r="CV755" s="1288"/>
      <c r="CW755" s="1288"/>
      <c r="CX755" s="1288"/>
      <c r="CY755" s="1288"/>
      <c r="CZ755" s="1288">
        <f t="shared" si="22"/>
        <v>0</v>
      </c>
      <c r="DA755" s="1288"/>
      <c r="DB755" s="1288"/>
      <c r="DC755" s="1288"/>
      <c r="DD755" s="1288"/>
      <c r="DE755" s="1288">
        <f t="shared" si="23"/>
        <v>0</v>
      </c>
      <c r="DF755" s="1288"/>
      <c r="DG755" s="1288"/>
      <c r="DH755" s="1288"/>
      <c r="DI755" s="1288"/>
      <c r="DJ755" s="1288">
        <f t="shared" si="24"/>
        <v>0</v>
      </c>
      <c r="DK755" s="1288"/>
      <c r="DL755" s="1288"/>
      <c r="DM755" s="1288"/>
      <c r="DN755" s="1288"/>
      <c r="DO755" s="1288">
        <f t="shared" si="25"/>
        <v>0</v>
      </c>
      <c r="DP755" s="1288"/>
      <c r="DQ755" s="1288"/>
      <c r="DR755" s="1288"/>
      <c r="DS755" s="1288"/>
      <c r="DT755" s="6"/>
      <c r="DU755" s="1306">
        <f t="shared" si="26"/>
        <v>0</v>
      </c>
      <c r="DV755" s="1306"/>
      <c r="DW755" s="1306"/>
      <c r="DX755" s="1306"/>
      <c r="DY755" s="1306"/>
      <c r="DZ755" s="1306">
        <f t="shared" si="27"/>
        <v>0</v>
      </c>
      <c r="EA755" s="1306"/>
      <c r="EB755" s="1306"/>
      <c r="EC755" s="1306"/>
      <c r="ED755" s="1306"/>
      <c r="EE755" s="1306">
        <f t="shared" si="28"/>
        <v>0</v>
      </c>
      <c r="EF755" s="1306"/>
      <c r="EG755" s="1306"/>
      <c r="EH755" s="1306"/>
      <c r="EI755" s="1306"/>
      <c r="EJ755" s="1306">
        <f t="shared" si="29"/>
        <v>0</v>
      </c>
      <c r="EK755" s="1306"/>
      <c r="EL755" s="1306"/>
      <c r="EM755" s="1306"/>
      <c r="EN755" s="1306"/>
      <c r="EO755" s="1306">
        <f t="shared" si="30"/>
        <v>0</v>
      </c>
      <c r="EP755" s="1306"/>
      <c r="EQ755" s="1306"/>
      <c r="ER755" s="1306"/>
      <c r="ES755" s="1306"/>
      <c r="ET755" s="1306">
        <f t="shared" si="31"/>
        <v>0</v>
      </c>
      <c r="EU755" s="1306"/>
      <c r="EV755" s="1306"/>
      <c r="EW755" s="1306"/>
      <c r="EX755" s="1306"/>
      <c r="EZ755" s="1285" t="str">
        <f t="shared" si="32"/>
        <v/>
      </c>
      <c r="FA755" s="1286"/>
      <c r="FB755" s="1286"/>
      <c r="FC755" s="1286"/>
      <c r="FD755" s="1287"/>
      <c r="FE755" s="1285" t="str">
        <f t="shared" si="33"/>
        <v/>
      </c>
      <c r="FF755" s="1286"/>
      <c r="FG755" s="1286"/>
      <c r="FH755" s="1286"/>
      <c r="FI755" s="1287"/>
      <c r="FJ755" s="1285" t="str">
        <f t="shared" si="34"/>
        <v/>
      </c>
      <c r="FK755" s="1286"/>
      <c r="FL755" s="1286"/>
      <c r="FM755" s="1286"/>
      <c r="FN755" s="1287"/>
      <c r="FO755" s="1285" t="str">
        <f t="shared" si="35"/>
        <v/>
      </c>
      <c r="FP755" s="1286"/>
      <c r="FQ755" s="1286"/>
      <c r="FR755" s="1286"/>
      <c r="FS755" s="1287"/>
      <c r="FT755" s="1285" t="str">
        <f t="shared" si="36"/>
        <v/>
      </c>
      <c r="FU755" s="1286"/>
      <c r="FV755" s="1286"/>
      <c r="FW755" s="1286"/>
      <c r="FX755" s="1287"/>
      <c r="FY755" s="1285" t="str">
        <f t="shared" si="37"/>
        <v/>
      </c>
      <c r="FZ755" s="1286"/>
      <c r="GA755" s="1286"/>
      <c r="GB755" s="1286"/>
      <c r="GC755" s="1287"/>
    </row>
    <row r="756" spans="1:185" s="3" customFormat="1" ht="12.95" customHeight="1">
      <c r="A756"/>
      <c r="B756" s="1290"/>
      <c r="C756" s="1291"/>
      <c r="D756" s="1291"/>
      <c r="E756" s="1291"/>
      <c r="F756" s="1292"/>
      <c r="G756" s="1518"/>
      <c r="H756" s="1519"/>
      <c r="I756" s="1519"/>
      <c r="J756" s="1520"/>
      <c r="K756" s="1525"/>
      <c r="L756" s="1526"/>
      <c r="M756" s="1526"/>
      <c r="N756" s="1527"/>
      <c r="O756" s="1296"/>
      <c r="P756" s="1297"/>
      <c r="Q756" s="1297"/>
      <c r="R756" s="1297"/>
      <c r="S756" s="1298"/>
      <c r="T756" s="1296"/>
      <c r="U756" s="1297"/>
      <c r="V756" s="1297"/>
      <c r="W756" s="1298"/>
      <c r="X756" s="1299">
        <f t="shared" si="41"/>
        <v>0</v>
      </c>
      <c r="Y756" s="1300"/>
      <c r="Z756" s="1300"/>
      <c r="AA756" s="1300"/>
      <c r="AB756" s="1301"/>
      <c r="AC756" s="1293"/>
      <c r="AD756" s="1294"/>
      <c r="AE756" s="1294"/>
      <c r="AF756" s="1294"/>
      <c r="AG756" s="1295"/>
      <c r="AH756" s="1302" t="str">
        <f t="shared" si="38"/>
        <v/>
      </c>
      <c r="AI756" s="1303"/>
      <c r="AJ756" s="1304"/>
      <c r="AK756" s="1290" t="s">
        <v>591</v>
      </c>
      <c r="AL756" s="1291"/>
      <c r="AM756" s="1291"/>
      <c r="AN756" s="1291"/>
      <c r="AO756" s="1292"/>
      <c r="AT756"/>
      <c r="AU756"/>
      <c r="AV756"/>
      <c r="AW756"/>
      <c r="AX756"/>
      <c r="AY756" s="1080"/>
      <c r="AZ756" s="118" t="str">
        <f t="shared" si="11"/>
        <v>N/A</v>
      </c>
      <c r="BA756" s="34"/>
      <c r="BB756" s="34"/>
      <c r="BC756" s="34"/>
      <c r="BD756" s="34"/>
      <c r="BE756" s="34"/>
      <c r="BF756" s="294">
        <f t="shared" si="12"/>
        <v>0</v>
      </c>
      <c r="BG756" s="297">
        <f t="shared" si="13"/>
        <v>0</v>
      </c>
      <c r="BH756" s="298" t="str">
        <f t="shared" si="14"/>
        <v/>
      </c>
      <c r="BJ756" s="34"/>
      <c r="BK756" s="34"/>
      <c r="BL756" s="34"/>
      <c r="BM756" s="34"/>
      <c r="BN756" s="34"/>
      <c r="BO756"/>
      <c r="BP756"/>
      <c r="BQ756"/>
      <c r="BR756"/>
      <c r="BS756" s="294">
        <f t="shared" si="15"/>
        <v>0</v>
      </c>
      <c r="BT756" s="297">
        <f t="shared" si="16"/>
        <v>0</v>
      </c>
      <c r="BU756" s="298" t="str">
        <f t="shared" si="17"/>
        <v/>
      </c>
      <c r="CD756"/>
      <c r="CG756" s="1285">
        <f t="shared" si="39"/>
        <v>0</v>
      </c>
      <c r="CH756" s="1287"/>
      <c r="CI756" s="1269">
        <f t="shared" si="40"/>
        <v>0</v>
      </c>
      <c r="CJ756" s="1271"/>
      <c r="CK756" s="1285">
        <f t="shared" si="18"/>
        <v>0</v>
      </c>
      <c r="CL756" s="1287"/>
      <c r="CM756" s="1269">
        <f t="shared" si="19"/>
        <v>0</v>
      </c>
      <c r="CN756" s="1271"/>
      <c r="CP756" s="1266">
        <f t="shared" si="20"/>
        <v>0</v>
      </c>
      <c r="CQ756" s="1267"/>
      <c r="CR756" s="1267"/>
      <c r="CS756" s="1267"/>
      <c r="CT756" s="1268"/>
      <c r="CU756" s="1288">
        <f t="shared" si="21"/>
        <v>0</v>
      </c>
      <c r="CV756" s="1288"/>
      <c r="CW756" s="1288"/>
      <c r="CX756" s="1288"/>
      <c r="CY756" s="1288"/>
      <c r="CZ756" s="1288">
        <f t="shared" si="22"/>
        <v>0</v>
      </c>
      <c r="DA756" s="1288"/>
      <c r="DB756" s="1288"/>
      <c r="DC756" s="1288"/>
      <c r="DD756" s="1288"/>
      <c r="DE756" s="1288">
        <f t="shared" si="23"/>
        <v>0</v>
      </c>
      <c r="DF756" s="1288"/>
      <c r="DG756" s="1288"/>
      <c r="DH756" s="1288"/>
      <c r="DI756" s="1288"/>
      <c r="DJ756" s="1288">
        <f t="shared" si="24"/>
        <v>0</v>
      </c>
      <c r="DK756" s="1288"/>
      <c r="DL756" s="1288"/>
      <c r="DM756" s="1288"/>
      <c r="DN756" s="1288"/>
      <c r="DO756" s="1288">
        <f t="shared" si="25"/>
        <v>0</v>
      </c>
      <c r="DP756" s="1288"/>
      <c r="DQ756" s="1288"/>
      <c r="DR756" s="1288"/>
      <c r="DS756" s="1288"/>
      <c r="DT756" s="6"/>
      <c r="DU756" s="1306">
        <f t="shared" si="26"/>
        <v>0</v>
      </c>
      <c r="DV756" s="1306"/>
      <c r="DW756" s="1306"/>
      <c r="DX756" s="1306"/>
      <c r="DY756" s="1306"/>
      <c r="DZ756" s="1306">
        <f t="shared" si="27"/>
        <v>0</v>
      </c>
      <c r="EA756" s="1306"/>
      <c r="EB756" s="1306"/>
      <c r="EC756" s="1306"/>
      <c r="ED756" s="1306"/>
      <c r="EE756" s="1306">
        <f t="shared" si="28"/>
        <v>0</v>
      </c>
      <c r="EF756" s="1306"/>
      <c r="EG756" s="1306"/>
      <c r="EH756" s="1306"/>
      <c r="EI756" s="1306"/>
      <c r="EJ756" s="1306">
        <f t="shared" si="29"/>
        <v>0</v>
      </c>
      <c r="EK756" s="1306"/>
      <c r="EL756" s="1306"/>
      <c r="EM756" s="1306"/>
      <c r="EN756" s="1306"/>
      <c r="EO756" s="1306">
        <f t="shared" si="30"/>
        <v>0</v>
      </c>
      <c r="EP756" s="1306"/>
      <c r="EQ756" s="1306"/>
      <c r="ER756" s="1306"/>
      <c r="ES756" s="1306"/>
      <c r="ET756" s="1306">
        <f t="shared" si="31"/>
        <v>0</v>
      </c>
      <c r="EU756" s="1306"/>
      <c r="EV756" s="1306"/>
      <c r="EW756" s="1306"/>
      <c r="EX756" s="1306"/>
      <c r="EY756"/>
      <c r="EZ756" s="1285" t="str">
        <f t="shared" si="32"/>
        <v/>
      </c>
      <c r="FA756" s="1286"/>
      <c r="FB756" s="1286"/>
      <c r="FC756" s="1286"/>
      <c r="FD756" s="1287"/>
      <c r="FE756" s="1285" t="str">
        <f t="shared" si="33"/>
        <v/>
      </c>
      <c r="FF756" s="1286"/>
      <c r="FG756" s="1286"/>
      <c r="FH756" s="1286"/>
      <c r="FI756" s="1287"/>
      <c r="FJ756" s="1285" t="str">
        <f t="shared" si="34"/>
        <v/>
      </c>
      <c r="FK756" s="1286"/>
      <c r="FL756" s="1286"/>
      <c r="FM756" s="1286"/>
      <c r="FN756" s="1287"/>
      <c r="FO756" s="1285" t="str">
        <f t="shared" si="35"/>
        <v/>
      </c>
      <c r="FP756" s="1286"/>
      <c r="FQ756" s="1286"/>
      <c r="FR756" s="1286"/>
      <c r="FS756" s="1287"/>
      <c r="FT756" s="1285" t="str">
        <f t="shared" si="36"/>
        <v/>
      </c>
      <c r="FU756" s="1286"/>
      <c r="FV756" s="1286"/>
      <c r="FW756" s="1286"/>
      <c r="FX756" s="1287"/>
      <c r="FY756" s="1285" t="str">
        <f t="shared" si="37"/>
        <v/>
      </c>
      <c r="FZ756" s="1286"/>
      <c r="GA756" s="1286"/>
      <c r="GB756" s="1286"/>
      <c r="GC756" s="1287"/>
    </row>
    <row r="757" spans="1:185" s="3" customFormat="1" ht="12.95" customHeight="1">
      <c r="A757"/>
      <c r="B757" s="1290"/>
      <c r="C757" s="1291"/>
      <c r="D757" s="1291"/>
      <c r="E757" s="1291"/>
      <c r="F757" s="1292"/>
      <c r="G757" s="1518"/>
      <c r="H757" s="1519"/>
      <c r="I757" s="1519"/>
      <c r="J757" s="1520"/>
      <c r="K757" s="1525"/>
      <c r="L757" s="1526"/>
      <c r="M757" s="1526"/>
      <c r="N757" s="1527"/>
      <c r="O757" s="1296"/>
      <c r="P757" s="1297"/>
      <c r="Q757" s="1297"/>
      <c r="R757" s="1297"/>
      <c r="S757" s="1298"/>
      <c r="T757" s="1296"/>
      <c r="U757" s="1297"/>
      <c r="V757" s="1297"/>
      <c r="W757" s="1298"/>
      <c r="X757" s="1299">
        <f t="shared" si="41"/>
        <v>0</v>
      </c>
      <c r="Y757" s="1300"/>
      <c r="Z757" s="1300"/>
      <c r="AA757" s="1300"/>
      <c r="AB757" s="1301"/>
      <c r="AC757" s="1293"/>
      <c r="AD757" s="1294"/>
      <c r="AE757" s="1294"/>
      <c r="AF757" s="1294"/>
      <c r="AG757" s="1295"/>
      <c r="AH757" s="1302" t="str">
        <f t="shared" si="38"/>
        <v/>
      </c>
      <c r="AI757" s="1303"/>
      <c r="AJ757" s="1304"/>
      <c r="AK757" s="1290" t="s">
        <v>591</v>
      </c>
      <c r="AL757" s="1291"/>
      <c r="AM757" s="1291"/>
      <c r="AN757" s="1291"/>
      <c r="AO757" s="1292"/>
      <c r="AT757"/>
      <c r="AU757"/>
      <c r="AV757"/>
      <c r="AW757"/>
      <c r="AX757"/>
      <c r="AY757" s="1080"/>
      <c r="AZ757" s="118" t="str">
        <f t="shared" si="11"/>
        <v>N/A</v>
      </c>
      <c r="BA757" s="34"/>
      <c r="BB757" s="34"/>
      <c r="BC757" s="34"/>
      <c r="BD757" s="34"/>
      <c r="BE757" s="34"/>
      <c r="BF757" s="294">
        <f t="shared" si="12"/>
        <v>0</v>
      </c>
      <c r="BG757" s="297">
        <f t="shared" si="13"/>
        <v>0</v>
      </c>
      <c r="BH757" s="298" t="str">
        <f t="shared" si="14"/>
        <v/>
      </c>
      <c r="BJ757" s="34"/>
      <c r="BK757" s="34"/>
      <c r="BL757" s="34"/>
      <c r="BM757" s="34"/>
      <c r="BN757" s="34"/>
      <c r="BO757"/>
      <c r="BP757"/>
      <c r="BQ757"/>
      <c r="BR757"/>
      <c r="BS757" s="294">
        <f t="shared" si="15"/>
        <v>0</v>
      </c>
      <c r="BT757" s="297">
        <f t="shared" si="16"/>
        <v>0</v>
      </c>
      <c r="BU757" s="298" t="str">
        <f t="shared" si="17"/>
        <v/>
      </c>
      <c r="CD757"/>
      <c r="CG757" s="1285">
        <f t="shared" si="39"/>
        <v>0</v>
      </c>
      <c r="CH757" s="1287"/>
      <c r="CI757" s="1269">
        <f t="shared" si="40"/>
        <v>0</v>
      </c>
      <c r="CJ757" s="1271"/>
      <c r="CK757" s="1285">
        <f t="shared" si="18"/>
        <v>0</v>
      </c>
      <c r="CL757" s="1287"/>
      <c r="CM757" s="1269">
        <f t="shared" si="19"/>
        <v>0</v>
      </c>
      <c r="CN757" s="1271"/>
      <c r="CP757" s="1266">
        <f t="shared" si="20"/>
        <v>0</v>
      </c>
      <c r="CQ757" s="1267"/>
      <c r="CR757" s="1267"/>
      <c r="CS757" s="1267"/>
      <c r="CT757" s="1268"/>
      <c r="CU757" s="1288">
        <f t="shared" si="21"/>
        <v>0</v>
      </c>
      <c r="CV757" s="1288"/>
      <c r="CW757" s="1288"/>
      <c r="CX757" s="1288"/>
      <c r="CY757" s="1288"/>
      <c r="CZ757" s="1288">
        <f t="shared" si="22"/>
        <v>0</v>
      </c>
      <c r="DA757" s="1288"/>
      <c r="DB757" s="1288"/>
      <c r="DC757" s="1288"/>
      <c r="DD757" s="1288"/>
      <c r="DE757" s="1288">
        <f t="shared" si="23"/>
        <v>0</v>
      </c>
      <c r="DF757" s="1288"/>
      <c r="DG757" s="1288"/>
      <c r="DH757" s="1288"/>
      <c r="DI757" s="1288"/>
      <c r="DJ757" s="1288">
        <f t="shared" si="24"/>
        <v>0</v>
      </c>
      <c r="DK757" s="1288"/>
      <c r="DL757" s="1288"/>
      <c r="DM757" s="1288"/>
      <c r="DN757" s="1288"/>
      <c r="DO757" s="1288">
        <f t="shared" si="25"/>
        <v>0</v>
      </c>
      <c r="DP757" s="1288"/>
      <c r="DQ757" s="1288"/>
      <c r="DR757" s="1288"/>
      <c r="DS757" s="1288"/>
      <c r="DT757" s="6"/>
      <c r="DU757" s="1306">
        <f t="shared" si="26"/>
        <v>0</v>
      </c>
      <c r="DV757" s="1306"/>
      <c r="DW757" s="1306"/>
      <c r="DX757" s="1306"/>
      <c r="DY757" s="1306"/>
      <c r="DZ757" s="1306">
        <f t="shared" si="27"/>
        <v>0</v>
      </c>
      <c r="EA757" s="1306"/>
      <c r="EB757" s="1306"/>
      <c r="EC757" s="1306"/>
      <c r="ED757" s="1306"/>
      <c r="EE757" s="1306">
        <f t="shared" si="28"/>
        <v>0</v>
      </c>
      <c r="EF757" s="1306"/>
      <c r="EG757" s="1306"/>
      <c r="EH757" s="1306"/>
      <c r="EI757" s="1306"/>
      <c r="EJ757" s="1306">
        <f t="shared" si="29"/>
        <v>0</v>
      </c>
      <c r="EK757" s="1306"/>
      <c r="EL757" s="1306"/>
      <c r="EM757" s="1306"/>
      <c r="EN757" s="1306"/>
      <c r="EO757" s="1306">
        <f t="shared" si="30"/>
        <v>0</v>
      </c>
      <c r="EP757" s="1306"/>
      <c r="EQ757" s="1306"/>
      <c r="ER757" s="1306"/>
      <c r="ES757" s="1306"/>
      <c r="ET757" s="1306">
        <f t="shared" si="31"/>
        <v>0</v>
      </c>
      <c r="EU757" s="1306"/>
      <c r="EV757" s="1306"/>
      <c r="EW757" s="1306"/>
      <c r="EX757" s="1306"/>
      <c r="EY757"/>
      <c r="EZ757" s="1285" t="str">
        <f t="shared" si="32"/>
        <v/>
      </c>
      <c r="FA757" s="1286"/>
      <c r="FB757" s="1286"/>
      <c r="FC757" s="1286"/>
      <c r="FD757" s="1287"/>
      <c r="FE757" s="1285" t="str">
        <f t="shared" si="33"/>
        <v/>
      </c>
      <c r="FF757" s="1286"/>
      <c r="FG757" s="1286"/>
      <c r="FH757" s="1286"/>
      <c r="FI757" s="1287"/>
      <c r="FJ757" s="1285" t="str">
        <f t="shared" si="34"/>
        <v/>
      </c>
      <c r="FK757" s="1286"/>
      <c r="FL757" s="1286"/>
      <c r="FM757" s="1286"/>
      <c r="FN757" s="1287"/>
      <c r="FO757" s="1285" t="str">
        <f t="shared" si="35"/>
        <v/>
      </c>
      <c r="FP757" s="1286"/>
      <c r="FQ757" s="1286"/>
      <c r="FR757" s="1286"/>
      <c r="FS757" s="1287"/>
      <c r="FT757" s="1285" t="str">
        <f t="shared" si="36"/>
        <v/>
      </c>
      <c r="FU757" s="1286"/>
      <c r="FV757" s="1286"/>
      <c r="FW757" s="1286"/>
      <c r="FX757" s="1287"/>
      <c r="FY757" s="1285" t="str">
        <f t="shared" si="37"/>
        <v/>
      </c>
      <c r="FZ757" s="1286"/>
      <c r="GA757" s="1286"/>
      <c r="GB757" s="1286"/>
      <c r="GC757" s="1287"/>
    </row>
    <row r="758" spans="1:185" s="3" customFormat="1" ht="12.95" customHeight="1">
      <c r="A758"/>
      <c r="B758" s="1290"/>
      <c r="C758" s="1291"/>
      <c r="D758" s="1291"/>
      <c r="E758" s="1291"/>
      <c r="F758" s="1292"/>
      <c r="G758" s="1518"/>
      <c r="H758" s="1519"/>
      <c r="I758" s="1519"/>
      <c r="J758" s="1520"/>
      <c r="K758" s="1525"/>
      <c r="L758" s="1526"/>
      <c r="M758" s="1526"/>
      <c r="N758" s="1527"/>
      <c r="O758" s="1296"/>
      <c r="P758" s="1297"/>
      <c r="Q758" s="1297"/>
      <c r="R758" s="1297"/>
      <c r="S758" s="1298"/>
      <c r="T758" s="1296"/>
      <c r="U758" s="1297"/>
      <c r="V758" s="1297"/>
      <c r="W758" s="1298"/>
      <c r="X758" s="1299">
        <f t="shared" si="41"/>
        <v>0</v>
      </c>
      <c r="Y758" s="1300"/>
      <c r="Z758" s="1300"/>
      <c r="AA758" s="1300"/>
      <c r="AB758" s="1301"/>
      <c r="AC758" s="1293"/>
      <c r="AD758" s="1294"/>
      <c r="AE758" s="1294"/>
      <c r="AF758" s="1294"/>
      <c r="AG758" s="1295"/>
      <c r="AH758" s="1302" t="str">
        <f t="shared" si="38"/>
        <v/>
      </c>
      <c r="AI758" s="1303"/>
      <c r="AJ758" s="1304"/>
      <c r="AK758" s="1290" t="s">
        <v>591</v>
      </c>
      <c r="AL758" s="1291"/>
      <c r="AM758" s="1291"/>
      <c r="AN758" s="1291"/>
      <c r="AO758" s="1292"/>
      <c r="AT758"/>
      <c r="AU758"/>
      <c r="AV758"/>
      <c r="AW758"/>
      <c r="AX758"/>
      <c r="AY758"/>
      <c r="AZ758" s="118" t="str">
        <f t="shared" si="11"/>
        <v>N/A</v>
      </c>
      <c r="BA758" s="34"/>
      <c r="BB758" s="34"/>
      <c r="BC758" s="34"/>
      <c r="BD758" s="34"/>
      <c r="BE758" s="34"/>
      <c r="BF758" s="294">
        <f t="shared" si="12"/>
        <v>0</v>
      </c>
      <c r="BG758" s="297">
        <f t="shared" si="13"/>
        <v>0</v>
      </c>
      <c r="BH758" s="298" t="str">
        <f t="shared" si="14"/>
        <v/>
      </c>
      <c r="BJ758" s="34"/>
      <c r="BK758" s="34"/>
      <c r="BL758" s="34"/>
      <c r="BM758" s="34"/>
      <c r="BN758" s="34"/>
      <c r="BO758"/>
      <c r="BP758"/>
      <c r="BQ758"/>
      <c r="BR758"/>
      <c r="BS758" s="294">
        <f t="shared" si="15"/>
        <v>0</v>
      </c>
      <c r="BT758" s="297">
        <f t="shared" si="16"/>
        <v>0</v>
      </c>
      <c r="BU758" s="298" t="str">
        <f t="shared" si="17"/>
        <v/>
      </c>
      <c r="CD758"/>
      <c r="CG758" s="1285">
        <f t="shared" si="39"/>
        <v>0</v>
      </c>
      <c r="CH758" s="1287"/>
      <c r="CI758" s="1269">
        <f t="shared" si="40"/>
        <v>0</v>
      </c>
      <c r="CJ758" s="1271"/>
      <c r="CK758" s="1285">
        <f t="shared" si="18"/>
        <v>0</v>
      </c>
      <c r="CL758" s="1287"/>
      <c r="CM758" s="1269">
        <f t="shared" si="19"/>
        <v>0</v>
      </c>
      <c r="CN758" s="1271"/>
      <c r="CP758" s="1266">
        <f t="shared" si="20"/>
        <v>0</v>
      </c>
      <c r="CQ758" s="1267"/>
      <c r="CR758" s="1267"/>
      <c r="CS758" s="1267"/>
      <c r="CT758" s="1268"/>
      <c r="CU758" s="1288">
        <f t="shared" si="21"/>
        <v>0</v>
      </c>
      <c r="CV758" s="1288"/>
      <c r="CW758" s="1288"/>
      <c r="CX758" s="1288"/>
      <c r="CY758" s="1288"/>
      <c r="CZ758" s="1288">
        <f t="shared" si="22"/>
        <v>0</v>
      </c>
      <c r="DA758" s="1288"/>
      <c r="DB758" s="1288"/>
      <c r="DC758" s="1288"/>
      <c r="DD758" s="1288"/>
      <c r="DE758" s="1288">
        <f t="shared" si="23"/>
        <v>0</v>
      </c>
      <c r="DF758" s="1288"/>
      <c r="DG758" s="1288"/>
      <c r="DH758" s="1288"/>
      <c r="DI758" s="1288"/>
      <c r="DJ758" s="1288">
        <f t="shared" si="24"/>
        <v>0</v>
      </c>
      <c r="DK758" s="1288"/>
      <c r="DL758" s="1288"/>
      <c r="DM758" s="1288"/>
      <c r="DN758" s="1288"/>
      <c r="DO758" s="1288">
        <f t="shared" si="25"/>
        <v>0</v>
      </c>
      <c r="DP758" s="1288"/>
      <c r="DQ758" s="1288"/>
      <c r="DR758" s="1288"/>
      <c r="DS758" s="1288"/>
      <c r="DT758" s="6"/>
      <c r="DU758" s="1306">
        <f t="shared" si="26"/>
        <v>0</v>
      </c>
      <c r="DV758" s="1306"/>
      <c r="DW758" s="1306"/>
      <c r="DX758" s="1306"/>
      <c r="DY758" s="1306"/>
      <c r="DZ758" s="1306">
        <f t="shared" si="27"/>
        <v>0</v>
      </c>
      <c r="EA758" s="1306"/>
      <c r="EB758" s="1306"/>
      <c r="EC758" s="1306"/>
      <c r="ED758" s="1306"/>
      <c r="EE758" s="1306">
        <f t="shared" si="28"/>
        <v>0</v>
      </c>
      <c r="EF758" s="1306"/>
      <c r="EG758" s="1306"/>
      <c r="EH758" s="1306"/>
      <c r="EI758" s="1306"/>
      <c r="EJ758" s="1306">
        <f t="shared" si="29"/>
        <v>0</v>
      </c>
      <c r="EK758" s="1306"/>
      <c r="EL758" s="1306"/>
      <c r="EM758" s="1306"/>
      <c r="EN758" s="1306"/>
      <c r="EO758" s="1306">
        <f t="shared" si="30"/>
        <v>0</v>
      </c>
      <c r="EP758" s="1306"/>
      <c r="EQ758" s="1306"/>
      <c r="ER758" s="1306"/>
      <c r="ES758" s="1306"/>
      <c r="ET758" s="1306">
        <f t="shared" si="31"/>
        <v>0</v>
      </c>
      <c r="EU758" s="1306"/>
      <c r="EV758" s="1306"/>
      <c r="EW758" s="1306"/>
      <c r="EX758" s="1306"/>
      <c r="EY758"/>
      <c r="EZ758" s="1285" t="str">
        <f t="shared" si="32"/>
        <v/>
      </c>
      <c r="FA758" s="1286"/>
      <c r="FB758" s="1286"/>
      <c r="FC758" s="1286"/>
      <c r="FD758" s="1287"/>
      <c r="FE758" s="1285" t="str">
        <f t="shared" si="33"/>
        <v/>
      </c>
      <c r="FF758" s="1286"/>
      <c r="FG758" s="1286"/>
      <c r="FH758" s="1286"/>
      <c r="FI758" s="1287"/>
      <c r="FJ758" s="1285" t="str">
        <f t="shared" si="34"/>
        <v/>
      </c>
      <c r="FK758" s="1286"/>
      <c r="FL758" s="1286"/>
      <c r="FM758" s="1286"/>
      <c r="FN758" s="1287"/>
      <c r="FO758" s="1285" t="str">
        <f t="shared" si="35"/>
        <v/>
      </c>
      <c r="FP758" s="1286"/>
      <c r="FQ758" s="1286"/>
      <c r="FR758" s="1286"/>
      <c r="FS758" s="1287"/>
      <c r="FT758" s="1285" t="str">
        <f t="shared" si="36"/>
        <v/>
      </c>
      <c r="FU758" s="1286"/>
      <c r="FV758" s="1286"/>
      <c r="FW758" s="1286"/>
      <c r="FX758" s="1287"/>
      <c r="FY758" s="1285" t="str">
        <f t="shared" si="37"/>
        <v/>
      </c>
      <c r="FZ758" s="1286"/>
      <c r="GA758" s="1286"/>
      <c r="GB758" s="1286"/>
      <c r="GC758" s="1287"/>
    </row>
    <row r="759" spans="1:185" s="3" customFormat="1" ht="12.95" customHeight="1">
      <c r="A759"/>
      <c r="B759" s="1290"/>
      <c r="C759" s="1291"/>
      <c r="D759" s="1291"/>
      <c r="E759" s="1291"/>
      <c r="F759" s="1292"/>
      <c r="G759" s="1518"/>
      <c r="H759" s="1519"/>
      <c r="I759" s="1519"/>
      <c r="J759" s="1520"/>
      <c r="K759" s="1525"/>
      <c r="L759" s="1526"/>
      <c r="M759" s="1526"/>
      <c r="N759" s="1527"/>
      <c r="O759" s="1296"/>
      <c r="P759" s="1297"/>
      <c r="Q759" s="1297"/>
      <c r="R759" s="1297"/>
      <c r="S759" s="1298"/>
      <c r="T759" s="1296"/>
      <c r="U759" s="1297"/>
      <c r="V759" s="1297"/>
      <c r="W759" s="1298"/>
      <c r="X759" s="1299">
        <f t="shared" si="41"/>
        <v>0</v>
      </c>
      <c r="Y759" s="1300"/>
      <c r="Z759" s="1300"/>
      <c r="AA759" s="1300"/>
      <c r="AB759" s="1301"/>
      <c r="AC759" s="1293"/>
      <c r="AD759" s="1294"/>
      <c r="AE759" s="1294"/>
      <c r="AF759" s="1294"/>
      <c r="AG759" s="1295"/>
      <c r="AH759" s="1302" t="str">
        <f t="shared" si="38"/>
        <v/>
      </c>
      <c r="AI759" s="1303"/>
      <c r="AJ759" s="1304"/>
      <c r="AK759" s="1290" t="s">
        <v>591</v>
      </c>
      <c r="AL759" s="1291"/>
      <c r="AM759" s="1291"/>
      <c r="AN759" s="1291"/>
      <c r="AO759" s="1292"/>
      <c r="AT759"/>
      <c r="AU759"/>
      <c r="AV759"/>
      <c r="AW759"/>
      <c r="AX759"/>
      <c r="AY759"/>
      <c r="AZ759" s="118" t="str">
        <f t="shared" si="11"/>
        <v>N/A</v>
      </c>
      <c r="BA759" s="34"/>
      <c r="BB759" s="34"/>
      <c r="BC759" s="34"/>
      <c r="BD759" s="34"/>
      <c r="BE759" s="34"/>
      <c r="BF759" s="294">
        <f t="shared" si="12"/>
        <v>0</v>
      </c>
      <c r="BG759" s="297">
        <f t="shared" si="13"/>
        <v>0</v>
      </c>
      <c r="BH759" s="298" t="str">
        <f t="shared" si="14"/>
        <v/>
      </c>
      <c r="BJ759" s="34"/>
      <c r="BK759" s="34"/>
      <c r="BL759" s="34"/>
      <c r="BM759" s="34"/>
      <c r="BN759" s="34"/>
      <c r="BO759"/>
      <c r="BP759"/>
      <c r="BQ759"/>
      <c r="BR759"/>
      <c r="BS759" s="294">
        <f t="shared" si="15"/>
        <v>0</v>
      </c>
      <c r="BT759" s="297">
        <f t="shared" si="16"/>
        <v>0</v>
      </c>
      <c r="BU759" s="298" t="str">
        <f t="shared" si="17"/>
        <v/>
      </c>
      <c r="CD759"/>
      <c r="CG759" s="1285">
        <f t="shared" si="39"/>
        <v>0</v>
      </c>
      <c r="CH759" s="1287"/>
      <c r="CI759" s="1269">
        <f t="shared" si="40"/>
        <v>0</v>
      </c>
      <c r="CJ759" s="1271"/>
      <c r="CK759" s="1285">
        <f t="shared" si="18"/>
        <v>0</v>
      </c>
      <c r="CL759" s="1287"/>
      <c r="CM759" s="1269">
        <f t="shared" si="19"/>
        <v>0</v>
      </c>
      <c r="CN759" s="1271"/>
      <c r="CP759" s="1266">
        <f t="shared" si="20"/>
        <v>0</v>
      </c>
      <c r="CQ759" s="1267"/>
      <c r="CR759" s="1267"/>
      <c r="CS759" s="1267"/>
      <c r="CT759" s="1268"/>
      <c r="CU759" s="1288">
        <f t="shared" si="21"/>
        <v>0</v>
      </c>
      <c r="CV759" s="1288"/>
      <c r="CW759" s="1288"/>
      <c r="CX759" s="1288"/>
      <c r="CY759" s="1288"/>
      <c r="CZ759" s="1288">
        <f t="shared" si="22"/>
        <v>0</v>
      </c>
      <c r="DA759" s="1288"/>
      <c r="DB759" s="1288"/>
      <c r="DC759" s="1288"/>
      <c r="DD759" s="1288"/>
      <c r="DE759" s="1288">
        <f t="shared" si="23"/>
        <v>0</v>
      </c>
      <c r="DF759" s="1288"/>
      <c r="DG759" s="1288"/>
      <c r="DH759" s="1288"/>
      <c r="DI759" s="1288"/>
      <c r="DJ759" s="1288">
        <f t="shared" si="24"/>
        <v>0</v>
      </c>
      <c r="DK759" s="1288"/>
      <c r="DL759" s="1288"/>
      <c r="DM759" s="1288"/>
      <c r="DN759" s="1288"/>
      <c r="DO759" s="1288">
        <f t="shared" si="25"/>
        <v>0</v>
      </c>
      <c r="DP759" s="1288"/>
      <c r="DQ759" s="1288"/>
      <c r="DR759" s="1288"/>
      <c r="DS759" s="1288"/>
      <c r="DT759" s="6"/>
      <c r="DU759" s="1306">
        <f t="shared" si="26"/>
        <v>0</v>
      </c>
      <c r="DV759" s="1306"/>
      <c r="DW759" s="1306"/>
      <c r="DX759" s="1306"/>
      <c r="DY759" s="1306"/>
      <c r="DZ759" s="1306">
        <f t="shared" si="27"/>
        <v>0</v>
      </c>
      <c r="EA759" s="1306"/>
      <c r="EB759" s="1306"/>
      <c r="EC759" s="1306"/>
      <c r="ED759" s="1306"/>
      <c r="EE759" s="1306">
        <f t="shared" si="28"/>
        <v>0</v>
      </c>
      <c r="EF759" s="1306"/>
      <c r="EG759" s="1306"/>
      <c r="EH759" s="1306"/>
      <c r="EI759" s="1306"/>
      <c r="EJ759" s="1306">
        <f t="shared" si="29"/>
        <v>0</v>
      </c>
      <c r="EK759" s="1306"/>
      <c r="EL759" s="1306"/>
      <c r="EM759" s="1306"/>
      <c r="EN759" s="1306"/>
      <c r="EO759" s="1306">
        <f t="shared" si="30"/>
        <v>0</v>
      </c>
      <c r="EP759" s="1306"/>
      <c r="EQ759" s="1306"/>
      <c r="ER759" s="1306"/>
      <c r="ES759" s="1306"/>
      <c r="ET759" s="1306">
        <f t="shared" si="31"/>
        <v>0</v>
      </c>
      <c r="EU759" s="1306"/>
      <c r="EV759" s="1306"/>
      <c r="EW759" s="1306"/>
      <c r="EX759" s="1306"/>
      <c r="EY759"/>
      <c r="EZ759" s="1285" t="str">
        <f t="shared" si="32"/>
        <v/>
      </c>
      <c r="FA759" s="1286"/>
      <c r="FB759" s="1286"/>
      <c r="FC759" s="1286"/>
      <c r="FD759" s="1287"/>
      <c r="FE759" s="1285" t="str">
        <f t="shared" si="33"/>
        <v/>
      </c>
      <c r="FF759" s="1286"/>
      <c r="FG759" s="1286"/>
      <c r="FH759" s="1286"/>
      <c r="FI759" s="1287"/>
      <c r="FJ759" s="1285" t="str">
        <f t="shared" si="34"/>
        <v/>
      </c>
      <c r="FK759" s="1286"/>
      <c r="FL759" s="1286"/>
      <c r="FM759" s="1286"/>
      <c r="FN759" s="1287"/>
      <c r="FO759" s="1285" t="str">
        <f t="shared" si="35"/>
        <v/>
      </c>
      <c r="FP759" s="1286"/>
      <c r="FQ759" s="1286"/>
      <c r="FR759" s="1286"/>
      <c r="FS759" s="1287"/>
      <c r="FT759" s="1285" t="str">
        <f t="shared" si="36"/>
        <v/>
      </c>
      <c r="FU759" s="1286"/>
      <c r="FV759" s="1286"/>
      <c r="FW759" s="1286"/>
      <c r="FX759" s="1287"/>
      <c r="FY759" s="1285" t="str">
        <f t="shared" si="37"/>
        <v/>
      </c>
      <c r="FZ759" s="1286"/>
      <c r="GA759" s="1286"/>
      <c r="GB759" s="1286"/>
      <c r="GC759" s="1287"/>
    </row>
    <row r="760" spans="1:185" s="3" customFormat="1" ht="12.95" customHeight="1">
      <c r="A760"/>
      <c r="B760" s="1290"/>
      <c r="C760" s="1291"/>
      <c r="D760" s="1291"/>
      <c r="E760" s="1291"/>
      <c r="F760" s="1292"/>
      <c r="G760" s="1518"/>
      <c r="H760" s="1519"/>
      <c r="I760" s="1519"/>
      <c r="J760" s="1520"/>
      <c r="K760" s="1525"/>
      <c r="L760" s="1526"/>
      <c r="M760" s="1526"/>
      <c r="N760" s="1527"/>
      <c r="O760" s="1296"/>
      <c r="P760" s="1297"/>
      <c r="Q760" s="1297"/>
      <c r="R760" s="1297"/>
      <c r="S760" s="1298"/>
      <c r="T760" s="1296"/>
      <c r="U760" s="1297"/>
      <c r="V760" s="1297"/>
      <c r="W760" s="1298"/>
      <c r="X760" s="1299">
        <f>O760+T760</f>
        <v>0</v>
      </c>
      <c r="Y760" s="1300"/>
      <c r="Z760" s="1300"/>
      <c r="AA760" s="1300"/>
      <c r="AB760" s="1301"/>
      <c r="AC760" s="1293"/>
      <c r="AD760" s="1294"/>
      <c r="AE760" s="1294"/>
      <c r="AF760" s="1294"/>
      <c r="AG760" s="1295"/>
      <c r="AH760" s="1302" t="str">
        <f t="shared" si="38"/>
        <v/>
      </c>
      <c r="AI760" s="1303"/>
      <c r="AJ760" s="1304"/>
      <c r="AK760" s="1290" t="s">
        <v>591</v>
      </c>
      <c r="AL760" s="1291"/>
      <c r="AM760" s="1291"/>
      <c r="AN760" s="1291"/>
      <c r="AO760" s="1292"/>
      <c r="AT760"/>
      <c r="AU760"/>
      <c r="AV760"/>
      <c r="AW760"/>
      <c r="AX760"/>
      <c r="AY760"/>
      <c r="AZ760" s="118" t="str">
        <f t="shared" si="11"/>
        <v>N/A</v>
      </c>
      <c r="BA760" s="34"/>
      <c r="BB760" s="34"/>
      <c r="BC760" s="34"/>
      <c r="BE760"/>
      <c r="BF760" s="294">
        <f t="shared" si="12"/>
        <v>0</v>
      </c>
      <c r="BG760" s="297">
        <f t="shared" si="13"/>
        <v>0</v>
      </c>
      <c r="BH760" s="298" t="str">
        <f t="shared" si="14"/>
        <v/>
      </c>
      <c r="BJ760" s="34"/>
      <c r="BK760" s="34"/>
      <c r="BL760" s="34"/>
      <c r="BM760" s="34"/>
      <c r="BN760" s="34"/>
      <c r="BO760"/>
      <c r="BP760"/>
      <c r="BQ760"/>
      <c r="BR760"/>
      <c r="BS760" s="856">
        <f t="shared" si="15"/>
        <v>0</v>
      </c>
      <c r="BT760" s="297">
        <f t="shared" si="16"/>
        <v>0</v>
      </c>
      <c r="BU760" s="298" t="str">
        <f t="shared" si="17"/>
        <v/>
      </c>
      <c r="CD760"/>
      <c r="CG760" s="1285">
        <f t="shared" si="39"/>
        <v>0</v>
      </c>
      <c r="CH760" s="1287"/>
      <c r="CI760" s="1269">
        <f t="shared" si="40"/>
        <v>0</v>
      </c>
      <c r="CJ760" s="1271"/>
      <c r="CK760" s="1285">
        <f t="shared" si="18"/>
        <v>0</v>
      </c>
      <c r="CL760" s="1287"/>
      <c r="CM760" s="1269">
        <f t="shared" si="19"/>
        <v>0</v>
      </c>
      <c r="CN760" s="1271"/>
      <c r="CP760" s="1266">
        <f t="shared" si="20"/>
        <v>0</v>
      </c>
      <c r="CQ760" s="1267"/>
      <c r="CR760" s="1267"/>
      <c r="CS760" s="1267"/>
      <c r="CT760" s="1268"/>
      <c r="CU760" s="1288">
        <f t="shared" si="21"/>
        <v>0</v>
      </c>
      <c r="CV760" s="1288"/>
      <c r="CW760" s="1288"/>
      <c r="CX760" s="1288"/>
      <c r="CY760" s="1288"/>
      <c r="CZ760" s="1288">
        <f t="shared" si="22"/>
        <v>0</v>
      </c>
      <c r="DA760" s="1288"/>
      <c r="DB760" s="1288"/>
      <c r="DC760" s="1288"/>
      <c r="DD760" s="1288"/>
      <c r="DE760" s="1288">
        <f t="shared" si="23"/>
        <v>0</v>
      </c>
      <c r="DF760" s="1288"/>
      <c r="DG760" s="1288"/>
      <c r="DH760" s="1288"/>
      <c r="DI760" s="1288"/>
      <c r="DJ760" s="1288">
        <f t="shared" si="24"/>
        <v>0</v>
      </c>
      <c r="DK760" s="1288"/>
      <c r="DL760" s="1288"/>
      <c r="DM760" s="1288"/>
      <c r="DN760" s="1288"/>
      <c r="DO760" s="1288">
        <f t="shared" si="25"/>
        <v>0</v>
      </c>
      <c r="DP760" s="1288"/>
      <c r="DQ760" s="1288"/>
      <c r="DR760" s="1288"/>
      <c r="DS760" s="1288"/>
      <c r="DT760" s="6"/>
      <c r="DU760" s="1306">
        <f t="shared" si="26"/>
        <v>0</v>
      </c>
      <c r="DV760" s="1306"/>
      <c r="DW760" s="1306"/>
      <c r="DX760" s="1306"/>
      <c r="DY760" s="1306"/>
      <c r="DZ760" s="1306">
        <f t="shared" si="27"/>
        <v>0</v>
      </c>
      <c r="EA760" s="1306"/>
      <c r="EB760" s="1306"/>
      <c r="EC760" s="1306"/>
      <c r="ED760" s="1306"/>
      <c r="EE760" s="1306">
        <f t="shared" si="28"/>
        <v>0</v>
      </c>
      <c r="EF760" s="1306"/>
      <c r="EG760" s="1306"/>
      <c r="EH760" s="1306"/>
      <c r="EI760" s="1306"/>
      <c r="EJ760" s="1306">
        <f t="shared" si="29"/>
        <v>0</v>
      </c>
      <c r="EK760" s="1306"/>
      <c r="EL760" s="1306"/>
      <c r="EM760" s="1306"/>
      <c r="EN760" s="1306"/>
      <c r="EO760" s="1306">
        <f t="shared" si="30"/>
        <v>0</v>
      </c>
      <c r="EP760" s="1306"/>
      <c r="EQ760" s="1306"/>
      <c r="ER760" s="1306"/>
      <c r="ES760" s="1306"/>
      <c r="ET760" s="1306">
        <f t="shared" si="31"/>
        <v>0</v>
      </c>
      <c r="EU760" s="1306"/>
      <c r="EV760" s="1306"/>
      <c r="EW760" s="1306"/>
      <c r="EX760" s="1306"/>
      <c r="EY760"/>
      <c r="EZ760" s="1285" t="str">
        <f t="shared" si="32"/>
        <v/>
      </c>
      <c r="FA760" s="1286"/>
      <c r="FB760" s="1286"/>
      <c r="FC760" s="1286"/>
      <c r="FD760" s="1287"/>
      <c r="FE760" s="1285" t="str">
        <f t="shared" si="33"/>
        <v/>
      </c>
      <c r="FF760" s="1286"/>
      <c r="FG760" s="1286"/>
      <c r="FH760" s="1286"/>
      <c r="FI760" s="1287"/>
      <c r="FJ760" s="1285" t="str">
        <f t="shared" si="34"/>
        <v/>
      </c>
      <c r="FK760" s="1286"/>
      <c r="FL760" s="1286"/>
      <c r="FM760" s="1286"/>
      <c r="FN760" s="1287"/>
      <c r="FO760" s="1285" t="str">
        <f t="shared" si="35"/>
        <v/>
      </c>
      <c r="FP760" s="1286"/>
      <c r="FQ760" s="1286"/>
      <c r="FR760" s="1286"/>
      <c r="FS760" s="1287"/>
      <c r="FT760" s="1285" t="str">
        <f t="shared" si="36"/>
        <v/>
      </c>
      <c r="FU760" s="1286"/>
      <c r="FV760" s="1286"/>
      <c r="FW760" s="1286"/>
      <c r="FX760" s="1287"/>
      <c r="FY760" s="1285" t="str">
        <f t="shared" si="37"/>
        <v/>
      </c>
      <c r="FZ760" s="1286"/>
      <c r="GA760" s="1286"/>
      <c r="GB760" s="1286"/>
      <c r="GC760" s="1287"/>
    </row>
    <row r="761" spans="1:185" s="3" customFormat="1" ht="12.95" customHeight="1">
      <c r="A761"/>
      <c r="B761" s="1360" t="s">
        <v>125</v>
      </c>
      <c r="C761" s="1361"/>
      <c r="D761" s="1361"/>
      <c r="E761" s="1361"/>
      <c r="F761" s="1363"/>
      <c r="G761" s="1643">
        <f>SUM(G726:G760)</f>
        <v>48</v>
      </c>
      <c r="H761" s="1644"/>
      <c r="I761" s="1644"/>
      <c r="J761" s="1645"/>
      <c r="K761" s="898" t="s">
        <v>124</v>
      </c>
      <c r="L761" s="5"/>
      <c r="M761" s="5"/>
      <c r="N761" s="46"/>
      <c r="O761" s="1299">
        <f>SUMPRODUCT(G726:G760,O726:O760)</f>
        <v>82563</v>
      </c>
      <c r="P761" s="1300"/>
      <c r="Q761" s="1300"/>
      <c r="R761" s="1300"/>
      <c r="S761" s="1301"/>
      <c r="T761"/>
      <c r="U761"/>
      <c r="V761"/>
      <c r="W761"/>
      <c r="X761" s="900" t="s">
        <v>900</v>
      </c>
      <c r="Y761" s="899"/>
      <c r="Z761" s="899"/>
      <c r="AA761" s="899"/>
      <c r="AB761" s="901"/>
      <c r="AC761" s="1547">
        <f>BH761</f>
        <v>0.59375</v>
      </c>
      <c r="AD761" s="1548"/>
      <c r="AE761" s="1548"/>
      <c r="AF761" s="1548"/>
      <c r="AG761" s="1549"/>
      <c r="AH761" s="1547">
        <f>IFERROR(BU761,"")</f>
        <v>0.56301907565381892</v>
      </c>
      <c r="AI761" s="1548"/>
      <c r="AJ761" s="1549"/>
      <c r="AK761"/>
      <c r="AL761"/>
      <c r="AM761"/>
      <c r="AN761"/>
      <c r="AO761"/>
      <c r="AP761" s="205"/>
      <c r="AQ761" s="205"/>
      <c r="AR761" s="205"/>
      <c r="AS761" s="205"/>
      <c r="AT761"/>
      <c r="AU761"/>
      <c r="AV761"/>
      <c r="AW761"/>
      <c r="AX761"/>
      <c r="AY761"/>
      <c r="AZ761" s="34"/>
      <c r="BA761" s="34"/>
      <c r="BB761" s="34"/>
      <c r="BC761" s="34"/>
      <c r="BE761" s="290" t="s">
        <v>899</v>
      </c>
      <c r="BF761" s="299">
        <f>SUM(BF726:BF760)</f>
        <v>48</v>
      </c>
      <c r="BG761" s="300">
        <f>SUM(BG726:BG760)</f>
        <v>1.0000000000000002</v>
      </c>
      <c r="BH761" s="300">
        <f>SUM(BH726:BH760)</f>
        <v>0.59375</v>
      </c>
      <c r="BI761"/>
      <c r="BJ761"/>
      <c r="BK761"/>
      <c r="BL761"/>
      <c r="BO761"/>
      <c r="BP761"/>
      <c r="BQ761"/>
      <c r="BR761"/>
      <c r="BS761" s="855">
        <f>SUM(BS726:BS760)</f>
        <v>48</v>
      </c>
      <c r="BT761" s="300">
        <f>SUM(BT726:BT760)</f>
        <v>1.0000000000000002</v>
      </c>
      <c r="BU761" s="300">
        <f>SUM(BU726:BU760)</f>
        <v>0.56301907565381892</v>
      </c>
      <c r="CI761" s="1285">
        <f>SUM(CI726:CJ760)</f>
        <v>10</v>
      </c>
      <c r="CJ761" s="1287"/>
      <c r="CM761" s="1285">
        <f>SUM(CM726:CN760)</f>
        <v>7</v>
      </c>
      <c r="CN761" s="1287"/>
      <c r="CP761" s="1285">
        <f>SUM(CP726:CT760)</f>
        <v>1</v>
      </c>
      <c r="CQ761" s="1286"/>
      <c r="CR761" s="1286"/>
      <c r="CS761" s="1286"/>
      <c r="CT761" s="1287"/>
      <c r="CU761" s="1305">
        <f>SUM(CU726:CY760)</f>
        <v>40</v>
      </c>
      <c r="CV761" s="1305"/>
      <c r="CW761" s="1305"/>
      <c r="CX761" s="1305"/>
      <c r="CY761" s="1305"/>
      <c r="CZ761" s="1305">
        <f>SUM(CZ726:DD760)</f>
        <v>7</v>
      </c>
      <c r="DA761" s="1305"/>
      <c r="DB761" s="1305"/>
      <c r="DC761" s="1305"/>
      <c r="DD761" s="1305"/>
      <c r="DE761" s="1305">
        <f>SUM(DE726:DI760)</f>
        <v>0</v>
      </c>
      <c r="DF761" s="1305"/>
      <c r="DG761" s="1305"/>
      <c r="DH761" s="1305"/>
      <c r="DI761" s="1305"/>
      <c r="DJ761" s="1305">
        <f>SUM(DJ726:DN760)</f>
        <v>0</v>
      </c>
      <c r="DK761" s="1305"/>
      <c r="DL761" s="1305"/>
      <c r="DM761" s="1305"/>
      <c r="DN761" s="1305"/>
      <c r="DO761" s="1305">
        <f>SUM(DO726:DS760)</f>
        <v>0</v>
      </c>
      <c r="DP761" s="1305"/>
      <c r="DQ761" s="1305"/>
      <c r="DR761" s="1305"/>
      <c r="DS761" s="1305"/>
      <c r="DT761" s="354"/>
      <c r="DU761" s="1305">
        <f>SUM(DU726:DY760)</f>
        <v>1</v>
      </c>
      <c r="DV761" s="1305"/>
      <c r="DW761" s="1305"/>
      <c r="DX761" s="1305"/>
      <c r="DY761" s="1305"/>
      <c r="DZ761" s="1305">
        <f>SUM(DZ726:ED760)</f>
        <v>5</v>
      </c>
      <c r="EA761" s="1305"/>
      <c r="EB761" s="1305"/>
      <c r="EC761" s="1305"/>
      <c r="ED761" s="1305"/>
      <c r="EE761" s="1305">
        <f>SUM(EE726:EI760)</f>
        <v>1</v>
      </c>
      <c r="EF761" s="1305"/>
      <c r="EG761" s="1305"/>
      <c r="EH761" s="1305"/>
      <c r="EI761" s="1305"/>
      <c r="EJ761" s="1305">
        <f>SUM(EJ726:EN760)</f>
        <v>0</v>
      </c>
      <c r="EK761" s="1305"/>
      <c r="EL761" s="1305"/>
      <c r="EM761" s="1305"/>
      <c r="EN761" s="1305"/>
      <c r="EO761" s="1305">
        <f>SUM(EO726:ES760)</f>
        <v>0</v>
      </c>
      <c r="EP761" s="1305"/>
      <c r="EQ761" s="1305"/>
      <c r="ER761" s="1305"/>
      <c r="ES761" s="1305"/>
      <c r="ET761" s="1305">
        <f>SUM(ET726:EX760)</f>
        <v>0</v>
      </c>
      <c r="EU761" s="1305"/>
      <c r="EV761" s="1305"/>
      <c r="EW761" s="1305"/>
      <c r="EX761" s="1305"/>
      <c r="EY761"/>
      <c r="EZ761" s="1305">
        <f>SUM(EZ726:FD760)</f>
        <v>826</v>
      </c>
      <c r="FA761" s="1305"/>
      <c r="FB761" s="1305"/>
      <c r="FC761" s="1305"/>
      <c r="FD761" s="1305"/>
      <c r="FE761" s="1305">
        <f>SUM(FE726:FI760)</f>
        <v>7449</v>
      </c>
      <c r="FF761" s="1305"/>
      <c r="FG761" s="1305"/>
      <c r="FH761" s="1305"/>
      <c r="FI761" s="1305"/>
      <c r="FJ761" s="1305">
        <f>SUM(FJ726:FN760)</f>
        <v>4996</v>
      </c>
      <c r="FK761" s="1305"/>
      <c r="FL761" s="1305"/>
      <c r="FM761" s="1305"/>
      <c r="FN761" s="1305"/>
      <c r="FO761" s="1305">
        <f>SUM(FO726:FS760)</f>
        <v>0</v>
      </c>
      <c r="FP761" s="1305"/>
      <c r="FQ761" s="1305"/>
      <c r="FR761" s="1305"/>
      <c r="FS761" s="1305"/>
      <c r="FT761" s="1305">
        <f>SUM(FT726:FX760)</f>
        <v>0</v>
      </c>
      <c r="FU761" s="1305"/>
      <c r="FV761" s="1305"/>
      <c r="FW761" s="1305"/>
      <c r="FX761" s="1305"/>
      <c r="FY761" s="1305">
        <f>SUM(FY726:GC760)</f>
        <v>0</v>
      </c>
      <c r="FZ761" s="1305"/>
      <c r="GA761" s="1305"/>
      <c r="GB761" s="1305"/>
      <c r="GC761" s="1305"/>
    </row>
    <row r="762" spans="1:185" s="3" customFormat="1" ht="12.95" customHeight="1">
      <c r="A762"/>
      <c r="B762" s="1580" t="s">
        <v>1866</v>
      </c>
      <c r="C762" s="1580"/>
      <c r="D762" s="1580"/>
      <c r="E762" s="1580"/>
      <c r="F762" s="1580"/>
      <c r="G762" s="1580"/>
      <c r="H762" s="1580"/>
      <c r="I762" s="1580"/>
      <c r="J762" s="1580"/>
      <c r="K762" s="1580"/>
      <c r="L762" s="1580"/>
      <c r="M762" s="1580"/>
      <c r="N762" s="1580"/>
      <c r="O762" s="1580"/>
      <c r="P762" s="1580"/>
      <c r="Q762" s="1580"/>
      <c r="R762" s="1580"/>
      <c r="S762" s="1580"/>
      <c r="T762" s="1580"/>
      <c r="U762" s="1580"/>
      <c r="V762" s="1580"/>
      <c r="W762" s="1580"/>
      <c r="X762" s="1580"/>
      <c r="Y762" s="1580"/>
      <c r="Z762" s="1580"/>
      <c r="AA762" s="1580"/>
      <c r="AB762" s="1580"/>
      <c r="AC762" s="1580"/>
      <c r="AD762" s="1580"/>
      <c r="AE762" s="1580"/>
      <c r="AF762" s="1580"/>
      <c r="AG762" s="1580"/>
      <c r="AH762" s="1580"/>
      <c r="AI762"/>
      <c r="AJ762"/>
      <c r="AK762"/>
      <c r="AT762"/>
      <c r="AU762"/>
      <c r="AV762"/>
      <c r="AW762"/>
      <c r="AX762"/>
      <c r="AY762"/>
      <c r="CD762"/>
      <c r="DN762" s="56" t="s">
        <v>1834</v>
      </c>
      <c r="DO762" s="1285">
        <f>CP761+CU761+CZ761+DE761+DJ761+DO761</f>
        <v>48</v>
      </c>
      <c r="DP762" s="1286"/>
      <c r="DQ762" s="1286"/>
      <c r="DR762" s="1286"/>
      <c r="DS762" s="1287"/>
      <c r="DT762" s="354"/>
      <c r="EI762"/>
      <c r="EJ762"/>
      <c r="EK762"/>
      <c r="EL762"/>
      <c r="EM762"/>
      <c r="EN762"/>
      <c r="EO762"/>
      <c r="EP762"/>
      <c r="EQ762"/>
      <c r="ER762"/>
      <c r="ES762"/>
      <c r="ET762"/>
      <c r="EU762"/>
      <c r="EV762"/>
      <c r="EW762"/>
      <c r="EX762"/>
      <c r="EY762"/>
      <c r="EZ762"/>
      <c r="FA762"/>
      <c r="FB762"/>
      <c r="FC762"/>
      <c r="FD762"/>
      <c r="FE762"/>
      <c r="FF762"/>
      <c r="FG762"/>
      <c r="FH762"/>
      <c r="FI762"/>
      <c r="FJ762"/>
      <c r="FK762"/>
      <c r="FL762"/>
      <c r="FM762"/>
      <c r="FN762"/>
      <c r="FO762"/>
      <c r="FP762"/>
      <c r="FQ762"/>
      <c r="FR762"/>
      <c r="FS762"/>
      <c r="FT762"/>
      <c r="FU762"/>
      <c r="FV762"/>
      <c r="FW762"/>
      <c r="FX762"/>
      <c r="FY762"/>
      <c r="FZ762"/>
      <c r="GA762"/>
      <c r="GB762"/>
      <c r="GC762"/>
    </row>
    <row r="763" spans="1:185" ht="12.95" customHeight="1">
      <c r="B763" s="1580"/>
      <c r="C763" s="1580"/>
      <c r="D763" s="1580"/>
      <c r="E763" s="1580"/>
      <c r="F763" s="1580"/>
      <c r="G763" s="1580"/>
      <c r="H763" s="1580"/>
      <c r="I763" s="1580"/>
      <c r="J763" s="1580"/>
      <c r="K763" s="1580"/>
      <c r="L763" s="1580"/>
      <c r="M763" s="1580"/>
      <c r="N763" s="1580"/>
      <c r="O763" s="1580"/>
      <c r="P763" s="1580"/>
      <c r="Q763" s="1580"/>
      <c r="R763" s="1580"/>
      <c r="S763" s="1580"/>
      <c r="T763" s="1580"/>
      <c r="U763" s="1580"/>
      <c r="V763" s="1580"/>
      <c r="W763" s="1580"/>
      <c r="X763" s="1580"/>
      <c r="Y763" s="1580"/>
      <c r="Z763" s="1580"/>
      <c r="AA763" s="1580"/>
      <c r="AB763" s="1580"/>
      <c r="AC763" s="1580"/>
      <c r="AD763" s="1580"/>
      <c r="AE763" s="1580"/>
      <c r="AF763" s="1580"/>
      <c r="AG763" s="1580"/>
      <c r="AH763" s="1580"/>
      <c r="AL763" s="3"/>
      <c r="AM763" s="3"/>
      <c r="AN763" s="3"/>
      <c r="AO763" s="3"/>
      <c r="AP763" s="3"/>
      <c r="AQ763" s="3"/>
      <c r="AR763" s="3"/>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E763" s="3"/>
      <c r="CF763" s="3"/>
      <c r="CG763" s="3"/>
      <c r="CH763" s="3"/>
      <c r="CI763" s="3"/>
      <c r="CJ763" s="3"/>
      <c r="CK763" s="3"/>
      <c r="CL763" s="3"/>
      <c r="CM763" s="3"/>
      <c r="CN763" s="3"/>
      <c r="CO763" s="3"/>
      <c r="CT763" s="857">
        <f>CP761*1</f>
        <v>1</v>
      </c>
      <c r="CU763" s="3"/>
      <c r="CV763" s="3"/>
      <c r="CW763" s="3"/>
      <c r="CX763" s="3"/>
      <c r="CY763" s="857">
        <f>CU761*1</f>
        <v>40</v>
      </c>
      <c r="CZ763" s="3"/>
      <c r="DA763" s="3"/>
      <c r="DB763" s="3"/>
      <c r="DC763" s="3"/>
      <c r="DD763" s="857">
        <f>CZ761*2</f>
        <v>14</v>
      </c>
      <c r="DE763" s="3"/>
      <c r="DF763" s="3"/>
      <c r="DG763" s="3"/>
      <c r="DH763" s="3"/>
      <c r="DI763" s="857">
        <f>DE761*3</f>
        <v>0</v>
      </c>
      <c r="DJ763" s="3"/>
      <c r="DK763" s="3"/>
      <c r="DL763" s="3"/>
      <c r="DM763" s="3"/>
      <c r="DN763" s="857">
        <f>DJ761*4</f>
        <v>0</v>
      </c>
      <c r="DO763" s="3"/>
      <c r="DP763" s="3"/>
      <c r="DQ763" s="3"/>
      <c r="DR763" s="3"/>
      <c r="DS763" s="857">
        <f>DO761*5</f>
        <v>0</v>
      </c>
      <c r="DU763" s="857">
        <f>CT763+CY763+DD763+DI763+DN763+DS763</f>
        <v>55</v>
      </c>
      <c r="DV763" s="57" t="s">
        <v>1836</v>
      </c>
      <c r="DW763" s="3"/>
      <c r="DX763" s="3"/>
      <c r="DY763" s="3"/>
      <c r="DZ763" s="3"/>
      <c r="EA763" s="3"/>
      <c r="EB763" s="3"/>
      <c r="EC763" s="3"/>
      <c r="ED763" s="3"/>
      <c r="EE763" s="3"/>
      <c r="EF763" s="3"/>
      <c r="EG763" s="3"/>
      <c r="EH763" s="3"/>
    </row>
    <row r="764" spans="1:185" ht="12.95" customHeight="1">
      <c r="A764" s="3"/>
      <c r="B764" s="3"/>
      <c r="C764" s="118" t="s">
        <v>1864</v>
      </c>
      <c r="D764" s="1027"/>
      <c r="E764" s="1027"/>
      <c r="F764" s="1027"/>
      <c r="G764" s="1028"/>
      <c r="H764" s="1028"/>
      <c r="I764" s="1028"/>
      <c r="J764" s="1028"/>
      <c r="K764" s="1027"/>
      <c r="L764" s="1027"/>
      <c r="M764" s="1027"/>
      <c r="N764" s="1027"/>
      <c r="O764" s="1305">
        <f>DU763</f>
        <v>55</v>
      </c>
      <c r="P764" s="1305"/>
      <c r="Q764" s="1305"/>
      <c r="R764" s="1305"/>
      <c r="S764" s="965"/>
      <c r="T764" s="965"/>
      <c r="U764" s="118" t="s">
        <v>1865</v>
      </c>
      <c r="V764" s="1027"/>
      <c r="W764" s="1027"/>
      <c r="X764" s="1027"/>
      <c r="Y764" s="1028"/>
      <c r="Z764" s="1028"/>
      <c r="AA764" s="1028"/>
      <c r="AB764" s="1028"/>
      <c r="AC764" s="1027"/>
      <c r="AD764" s="1027"/>
      <c r="AE764" s="1027"/>
      <c r="AF764" s="1027"/>
      <c r="AG764" s="1775"/>
      <c r="AH764" s="1775"/>
      <c r="AI764" s="1775"/>
      <c r="AJ764" s="1775"/>
      <c r="AK764" s="3"/>
      <c r="AL764" s="3"/>
      <c r="AM764" s="3"/>
      <c r="AN764" s="3"/>
      <c r="AO764" s="3"/>
      <c r="AP764" s="3"/>
      <c r="AQ764" s="3"/>
      <c r="AR764" s="3"/>
      <c r="AS764" s="3"/>
      <c r="AZ764" s="3"/>
      <c r="BA764" s="3"/>
      <c r="BB764" s="290"/>
      <c r="BC764" s="290"/>
      <c r="BD764" s="290"/>
      <c r="BE764" s="290"/>
      <c r="BF764" s="290"/>
      <c r="BG764" s="290"/>
      <c r="BH764" s="290"/>
      <c r="BI764" s="290"/>
      <c r="BJ764" s="290"/>
      <c r="BK764" s="290"/>
      <c r="BL764" s="290"/>
      <c r="BM764" s="290"/>
      <c r="BN764" s="290"/>
      <c r="BO764" s="290"/>
      <c r="BP764" s="290"/>
      <c r="BQ764" s="290"/>
      <c r="BR764" s="290"/>
      <c r="BS764" s="290"/>
      <c r="BT764" s="290"/>
      <c r="BU764" s="290"/>
      <c r="BV764" s="290"/>
      <c r="BW764" s="290"/>
      <c r="BX764" s="290"/>
      <c r="BY764" s="290"/>
      <c r="BZ764" s="290"/>
      <c r="CA764" s="290"/>
      <c r="CB764" s="290"/>
      <c r="CC764" s="290"/>
      <c r="CE764" s="3"/>
      <c r="CF764" s="290"/>
      <c r="CG764" s="290"/>
      <c r="CH764" s="290"/>
      <c r="CI764" s="290"/>
      <c r="CJ764" s="290"/>
      <c r="CK764" s="290"/>
      <c r="CL764" s="290"/>
      <c r="CM764" s="290"/>
      <c r="CN764" s="290"/>
      <c r="CO764" s="290"/>
      <c r="CP764" s="290"/>
      <c r="CQ764" s="290"/>
      <c r="CR764" s="290"/>
      <c r="CS764" s="290"/>
      <c r="CT764" s="290"/>
      <c r="CU764" s="290"/>
      <c r="CV764" s="290"/>
      <c r="CW764" s="290"/>
      <c r="CX764" s="290"/>
      <c r="CY764" s="290"/>
      <c r="CZ764" s="290"/>
      <c r="DA764" s="290"/>
      <c r="DB764" s="290"/>
      <c r="DC764" s="290"/>
      <c r="DD764" s="290"/>
      <c r="DE764" s="290"/>
      <c r="DF764" s="290"/>
      <c r="DG764" s="290"/>
      <c r="DH764" s="290"/>
      <c r="DI764" s="290"/>
      <c r="DJ764" s="290"/>
      <c r="DK764" s="290"/>
      <c r="DL764" s="290"/>
      <c r="DM764" s="290"/>
      <c r="DN764" s="290"/>
      <c r="DO764" s="290"/>
      <c r="DP764" s="290"/>
      <c r="DQ764" s="290"/>
      <c r="DR764" s="290"/>
      <c r="DS764" s="290"/>
      <c r="DT764" s="290"/>
      <c r="DU764" s="290"/>
      <c r="DV764" s="290"/>
      <c r="DW764" s="290"/>
      <c r="FB764" s="290"/>
      <c r="FC764" s="290"/>
    </row>
    <row r="765" spans="1:185" ht="12.95" customHeight="1">
      <c r="B765" s="57"/>
      <c r="C765" s="1793" t="str">
        <f>IF(G761&lt;&gt;AG449,"! Total Low-Income Units in the Unit Mix Table above does not match the number of Total Low-Income Units on row #"&amp;TEXT(ROW(D449),"#"),"")</f>
        <v/>
      </c>
      <c r="D765" s="1793"/>
      <c r="E765" s="1793"/>
      <c r="F765" s="1793"/>
      <c r="G765" s="1793"/>
      <c r="H765" s="1793"/>
      <c r="I765" s="1793"/>
      <c r="J765" s="1793"/>
      <c r="K765" s="1793"/>
      <c r="L765" s="1793"/>
      <c r="M765" s="1793"/>
      <c r="N765" s="1793"/>
      <c r="O765" s="1793"/>
      <c r="P765" s="1793"/>
      <c r="Q765" s="1793"/>
      <c r="R765" s="1793"/>
      <c r="S765" s="1793"/>
      <c r="T765" s="1793"/>
      <c r="U765" s="1793"/>
      <c r="V765" s="1793"/>
      <c r="W765" s="1793"/>
      <c r="X765" s="1793"/>
      <c r="Y765" s="1793"/>
      <c r="Z765" s="1793"/>
      <c r="AA765" s="1793"/>
      <c r="AB765" s="1793"/>
      <c r="AC765" s="1793"/>
      <c r="AD765" s="1793"/>
      <c r="AE765" s="1793"/>
      <c r="AF765" s="1793"/>
      <c r="AG765" s="1793"/>
      <c r="AH765" s="1793"/>
      <c r="AI765" s="1793"/>
      <c r="AJ765" s="1793"/>
      <c r="AK765" s="1793"/>
      <c r="AL765" s="1793"/>
      <c r="AM765" s="1793"/>
      <c r="AP765" s="290"/>
      <c r="AQ765" s="290"/>
      <c r="AR765" s="290"/>
      <c r="AS765" s="290"/>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85" ht="12.95" customHeight="1">
      <c r="B766" s="57"/>
      <c r="C766" s="1793"/>
      <c r="D766" s="1793"/>
      <c r="E766" s="1793"/>
      <c r="F766" s="1793"/>
      <c r="G766" s="1793"/>
      <c r="H766" s="1793"/>
      <c r="I766" s="1793"/>
      <c r="J766" s="1793"/>
      <c r="K766" s="1793"/>
      <c r="L766" s="1793"/>
      <c r="M766" s="1793"/>
      <c r="N766" s="1793"/>
      <c r="O766" s="1793"/>
      <c r="P766" s="1793"/>
      <c r="Q766" s="1793"/>
      <c r="R766" s="1793"/>
      <c r="S766" s="1793"/>
      <c r="T766" s="1793"/>
      <c r="U766" s="1793"/>
      <c r="V766" s="1793"/>
      <c r="W766" s="1793"/>
      <c r="X766" s="1793"/>
      <c r="Y766" s="1793"/>
      <c r="Z766" s="1793"/>
      <c r="AA766" s="1793"/>
      <c r="AB766" s="1793"/>
      <c r="AC766" s="1793"/>
      <c r="AD766" s="1793"/>
      <c r="AE766" s="1793"/>
      <c r="AF766" s="1793"/>
      <c r="AG766" s="1793"/>
      <c r="AH766" s="1793"/>
      <c r="AI766" s="1793"/>
      <c r="AJ766" s="1793"/>
      <c r="AK766" s="1793"/>
      <c r="AL766" s="1793"/>
      <c r="AM766" s="1793"/>
      <c r="AP766" s="290"/>
      <c r="AQ766" s="290"/>
      <c r="AR766" s="290"/>
      <c r="AS766" s="290"/>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G766" s="3"/>
      <c r="DH766" s="3"/>
      <c r="DI766" s="3"/>
      <c r="DJ766" s="3"/>
      <c r="DK766" s="3"/>
      <c r="DL766" s="3"/>
      <c r="DM766" s="3"/>
      <c r="DN766" s="3"/>
      <c r="DO766" s="3"/>
      <c r="DP766" s="3"/>
      <c r="DQ766" s="3"/>
      <c r="DR766" s="3"/>
      <c r="DS766" s="3"/>
      <c r="DT766" s="3"/>
      <c r="DU766" s="3"/>
      <c r="DV766" s="3"/>
      <c r="DW766" s="3"/>
      <c r="FB766" s="3"/>
      <c r="FC766" s="3"/>
    </row>
    <row r="767" spans="1:185" ht="12.95" customHeight="1">
      <c r="B767" s="3"/>
      <c r="C767" s="118" t="s">
        <v>1863</v>
      </c>
      <c r="D767" s="1029"/>
      <c r="E767" s="1029"/>
      <c r="F767" s="1029"/>
      <c r="G767" s="1029"/>
      <c r="H767" s="1029"/>
      <c r="I767" s="1029"/>
      <c r="J767" s="1029"/>
      <c r="K767" s="1029"/>
      <c r="L767" s="1029"/>
      <c r="M767" s="1029"/>
      <c r="N767" s="1029"/>
      <c r="O767" s="1029"/>
      <c r="P767" s="1029"/>
      <c r="Q767" s="1029"/>
      <c r="R767" s="1029"/>
      <c r="S767" s="1029"/>
      <c r="T767" s="1029"/>
      <c r="U767" s="1029"/>
      <c r="V767" s="1029"/>
      <c r="W767" s="1029"/>
      <c r="X767" s="1029"/>
      <c r="Y767" s="1029"/>
      <c r="Z767" s="1029"/>
      <c r="AA767" s="1029"/>
      <c r="AB767" s="1029"/>
      <c r="AC767" s="1029"/>
      <c r="AD767" s="1646" t="s">
        <v>591</v>
      </c>
      <c r="AE767" s="1646"/>
      <c r="AF767" s="1646"/>
      <c r="AG767" s="1029"/>
      <c r="AH767" s="1029"/>
      <c r="AI767" s="1029"/>
      <c r="AJ767" s="1029"/>
      <c r="AK767" s="1029"/>
      <c r="AL767" s="1029"/>
      <c r="AM767" s="1029"/>
      <c r="AN767" s="1029"/>
      <c r="AO767" s="1029"/>
      <c r="AP767" s="1029"/>
      <c r="AQ767" s="1029"/>
      <c r="AR767" s="1029"/>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c r="DG767" s="3"/>
      <c r="DH767" s="3"/>
      <c r="DI767" s="3"/>
      <c r="DJ767" s="3"/>
      <c r="DK767" s="3"/>
      <c r="DL767" s="3"/>
      <c r="DM767" s="3"/>
      <c r="DN767" s="3"/>
      <c r="DO767" s="3"/>
      <c r="DP767" s="3"/>
      <c r="DQ767" s="3"/>
      <c r="DR767" s="3"/>
      <c r="DS767" s="3"/>
      <c r="DT767" s="3"/>
      <c r="DU767" s="3"/>
      <c r="DV767" s="3"/>
      <c r="DW767" s="3"/>
      <c r="FB767" s="3"/>
      <c r="FC767" s="3"/>
    </row>
    <row r="768" spans="1:185" ht="12.95" customHeight="1">
      <c r="C768" s="1030" t="s">
        <v>2043</v>
      </c>
      <c r="D768" s="1029"/>
      <c r="E768" s="1029"/>
      <c r="F768" s="1029"/>
      <c r="G768" s="1029"/>
      <c r="H768" s="1029"/>
      <c r="I768" s="1029"/>
      <c r="J768" s="1029"/>
      <c r="K768" s="1029"/>
      <c r="L768" s="1029"/>
      <c r="M768" s="1029"/>
      <c r="N768" s="1029"/>
      <c r="O768" s="1029"/>
      <c r="P768" s="1029"/>
      <c r="Q768" s="1029"/>
      <c r="R768" s="1029"/>
      <c r="S768" s="1029"/>
      <c r="T768" s="1029"/>
      <c r="U768" s="1029"/>
      <c r="V768" s="1029"/>
      <c r="W768" s="1029"/>
      <c r="X768" s="1029"/>
      <c r="Y768" s="1029"/>
      <c r="Z768" s="1029"/>
      <c r="AA768" s="1029"/>
      <c r="AB768" s="1029"/>
      <c r="AC768" s="1029"/>
      <c r="AD768" s="1029"/>
      <c r="AE768" s="1029"/>
      <c r="AF768" s="1029"/>
      <c r="AG768" s="1029"/>
      <c r="AH768" s="1029"/>
      <c r="AI768" s="1029"/>
      <c r="AJ768" s="1029"/>
      <c r="AK768" s="1029"/>
      <c r="AL768" s="1029"/>
      <c r="AM768" s="1029"/>
      <c r="AN768" s="1029"/>
      <c r="AO768" s="1029"/>
      <c r="AP768" s="1029"/>
      <c r="AQ768" s="1029"/>
      <c r="AR768" s="1029"/>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G768" s="3"/>
      <c r="DH768" s="3"/>
      <c r="DI768" s="3"/>
      <c r="DJ768" s="3"/>
      <c r="DK768" s="3"/>
      <c r="DL768" s="3"/>
      <c r="DM768" s="3"/>
      <c r="DN768" s="3"/>
      <c r="DO768" s="3"/>
      <c r="DP768" s="3"/>
      <c r="DQ768" s="3"/>
      <c r="DR768" s="3"/>
      <c r="DS768" s="3"/>
      <c r="DT768" s="3"/>
      <c r="DU768" s="3"/>
      <c r="DV768" s="3"/>
      <c r="DW768" s="3"/>
      <c r="FB768" s="3"/>
      <c r="FC768" s="3"/>
    </row>
    <row r="769" spans="1:159" ht="12.95" customHeight="1">
      <c r="A769" s="2" t="s">
        <v>576</v>
      </c>
      <c r="B769" s="56"/>
      <c r="C769" s="57" t="s">
        <v>424</v>
      </c>
      <c r="D769" s="56"/>
      <c r="E769" s="56"/>
      <c r="F769" s="56"/>
      <c r="G769" s="6"/>
      <c r="H769" s="6"/>
      <c r="I769" s="6"/>
      <c r="J769" s="6"/>
      <c r="K769" s="6"/>
      <c r="L769" s="56"/>
      <c r="M769" s="56"/>
      <c r="N769" s="56"/>
      <c r="O769" s="56"/>
      <c r="P769" s="56"/>
      <c r="Q769" s="6"/>
      <c r="R769" s="6"/>
      <c r="S769" s="6"/>
      <c r="T769" s="6"/>
      <c r="U769" s="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DU769" s="3"/>
      <c r="DV769" s="3"/>
      <c r="DW769" s="3"/>
      <c r="FB769" s="3"/>
      <c r="FC769" s="3"/>
    </row>
    <row r="770" spans="1:159" ht="12.95" customHeight="1">
      <c r="A770" s="3"/>
      <c r="B770" s="1027"/>
      <c r="C770" s="118" t="s">
        <v>177</v>
      </c>
      <c r="D770" s="1027"/>
      <c r="E770" s="1027"/>
      <c r="F770" s="1027"/>
      <c r="G770" s="354"/>
      <c r="H770" s="354"/>
      <c r="I770" s="354"/>
      <c r="J770" s="354"/>
      <c r="K770" s="354"/>
      <c r="L770" s="1027"/>
      <c r="M770" s="1027"/>
      <c r="N770" s="1027"/>
      <c r="O770" s="1027"/>
      <c r="P770" s="1027"/>
      <c r="Q770" s="354"/>
      <c r="R770" s="354"/>
      <c r="S770" s="354"/>
      <c r="T770" s="354"/>
      <c r="U770" s="354"/>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DU770" s="3"/>
      <c r="DV770" s="3"/>
      <c r="DW770" s="3"/>
      <c r="FB770" s="3"/>
      <c r="FC770" s="3"/>
    </row>
    <row r="771" spans="1:159" ht="12.95" customHeight="1">
      <c r="A771" s="3"/>
      <c r="B771" s="1027"/>
      <c r="C771" s="1502" t="s">
        <v>2044</v>
      </c>
      <c r="D771" s="1502"/>
      <c r="E771" s="1502"/>
      <c r="F771" s="1502"/>
      <c r="G771" s="1502"/>
      <c r="H771" s="1502"/>
      <c r="I771" s="1502"/>
      <c r="J771" s="1502"/>
      <c r="K771" s="1502"/>
      <c r="L771" s="1502"/>
      <c r="M771" s="1502"/>
      <c r="N771" s="1502"/>
      <c r="O771" s="1502"/>
      <c r="P771" s="1502"/>
      <c r="Q771" s="1502"/>
      <c r="R771" s="1502"/>
      <c r="S771" s="1502"/>
      <c r="T771" s="1502"/>
      <c r="U771" s="1502"/>
      <c r="V771" s="1502"/>
      <c r="W771" s="1502"/>
      <c r="X771" s="1502"/>
      <c r="Y771" s="1502"/>
      <c r="Z771" s="1502"/>
      <c r="AA771" s="1502"/>
      <c r="AB771" s="1502"/>
      <c r="AC771" s="1502"/>
      <c r="AD771" s="1502"/>
      <c r="AE771" s="1502"/>
      <c r="AF771" s="1502"/>
      <c r="AG771" s="1502"/>
      <c r="AH771" s="1502"/>
      <c r="AI771" s="1502"/>
      <c r="AJ771" s="1502"/>
      <c r="AK771" s="1502"/>
      <c r="AL771" s="1502"/>
      <c r="AM771" s="1502"/>
      <c r="AN771" s="1502"/>
      <c r="AO771" s="1502"/>
      <c r="AP771" s="1502"/>
      <c r="AQ771" s="1502"/>
      <c r="AR771" s="1502"/>
      <c r="AS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DU771" s="3"/>
      <c r="DV771" s="3"/>
      <c r="DW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c r="FB771" s="3"/>
      <c r="FC771" s="3"/>
    </row>
    <row r="772" spans="1:159" ht="12.95" customHeight="1">
      <c r="A772" s="3"/>
      <c r="B772" s="1027"/>
      <c r="C772" s="1502"/>
      <c r="D772" s="1502"/>
      <c r="E772" s="1502"/>
      <c r="F772" s="1502"/>
      <c r="G772" s="1502"/>
      <c r="H772" s="1502"/>
      <c r="I772" s="1502"/>
      <c r="J772" s="1502"/>
      <c r="K772" s="1502"/>
      <c r="L772" s="1502"/>
      <c r="M772" s="1502"/>
      <c r="N772" s="1502"/>
      <c r="O772" s="1502"/>
      <c r="P772" s="1502"/>
      <c r="Q772" s="1502"/>
      <c r="R772" s="1502"/>
      <c r="S772" s="1502"/>
      <c r="T772" s="1502"/>
      <c r="U772" s="1502"/>
      <c r="V772" s="1502"/>
      <c r="W772" s="1502"/>
      <c r="X772" s="1502"/>
      <c r="Y772" s="1502"/>
      <c r="Z772" s="1502"/>
      <c r="AA772" s="1502"/>
      <c r="AB772" s="1502"/>
      <c r="AC772" s="1502"/>
      <c r="AD772" s="1502"/>
      <c r="AE772" s="1502"/>
      <c r="AF772" s="1502"/>
      <c r="AG772" s="1502"/>
      <c r="AH772" s="1502"/>
      <c r="AI772" s="1502"/>
      <c r="AJ772" s="1502"/>
      <c r="AK772" s="1502"/>
      <c r="AL772" s="1502"/>
      <c r="AM772" s="1502"/>
      <c r="AN772" s="1502"/>
      <c r="AO772" s="1502"/>
      <c r="AP772" s="1502"/>
      <c r="AQ772" s="1502"/>
      <c r="AR772" s="1502"/>
      <c r="AS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DU772" s="3"/>
      <c r="DV772" s="3"/>
      <c r="DW772" s="3"/>
      <c r="FB772" s="3"/>
      <c r="FC772" s="3"/>
    </row>
    <row r="773" spans="1:159" ht="12.95" customHeight="1">
      <c r="A773" s="3"/>
      <c r="B773" s="1027"/>
      <c r="C773" s="1502"/>
      <c r="D773" s="1502"/>
      <c r="E773" s="1502"/>
      <c r="F773" s="1502"/>
      <c r="G773" s="1502"/>
      <c r="H773" s="1502"/>
      <c r="I773" s="1502"/>
      <c r="J773" s="1502"/>
      <c r="K773" s="1502"/>
      <c r="L773" s="1502"/>
      <c r="M773" s="1502"/>
      <c r="N773" s="1502"/>
      <c r="O773" s="1502"/>
      <c r="P773" s="1502"/>
      <c r="Q773" s="1502"/>
      <c r="R773" s="1502"/>
      <c r="S773" s="1502"/>
      <c r="T773" s="1502"/>
      <c r="U773" s="1502"/>
      <c r="V773" s="1502"/>
      <c r="W773" s="1502"/>
      <c r="X773" s="1502"/>
      <c r="Y773" s="1502"/>
      <c r="Z773" s="1502"/>
      <c r="AA773" s="1502"/>
      <c r="AB773" s="1502"/>
      <c r="AC773" s="1502"/>
      <c r="AD773" s="1502"/>
      <c r="AE773" s="1502"/>
      <c r="AF773" s="1502"/>
      <c r="AG773" s="1502"/>
      <c r="AH773" s="1502"/>
      <c r="AI773" s="1502"/>
      <c r="AJ773" s="1502"/>
      <c r="AK773" s="1502"/>
      <c r="AL773" s="1502"/>
      <c r="AM773" s="1502"/>
      <c r="AN773" s="1502"/>
      <c r="AO773" s="1502"/>
      <c r="AP773" s="1502"/>
      <c r="AQ773" s="1502"/>
      <c r="AR773" s="1502"/>
      <c r="AS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row>
    <row r="774" spans="1:159" ht="12.95" customHeight="1">
      <c r="A774" s="3"/>
      <c r="B774" s="1027"/>
      <c r="C774" s="1502" t="s">
        <v>2045</v>
      </c>
      <c r="D774" s="1502"/>
      <c r="E774" s="1502"/>
      <c r="F774" s="1502"/>
      <c r="G774" s="1502"/>
      <c r="H774" s="1502"/>
      <c r="I774" s="1502"/>
      <c r="J774" s="1502"/>
      <c r="K774" s="1502"/>
      <c r="L774" s="1502"/>
      <c r="M774" s="1502"/>
      <c r="N774" s="1502"/>
      <c r="O774" s="1502"/>
      <c r="P774" s="1502"/>
      <c r="Q774" s="1502"/>
      <c r="R774" s="1502"/>
      <c r="S774" s="1502"/>
      <c r="T774" s="1502"/>
      <c r="U774" s="1502"/>
      <c r="V774" s="1502"/>
      <c r="W774" s="1502"/>
      <c r="X774" s="1502"/>
      <c r="Y774" s="1502"/>
      <c r="Z774" s="1502"/>
      <c r="AA774" s="1502"/>
      <c r="AB774" s="1502"/>
      <c r="AC774" s="1502"/>
      <c r="AD774" s="1502"/>
      <c r="AE774" s="1502"/>
      <c r="AF774" s="1502"/>
      <c r="AG774" s="1502"/>
      <c r="AH774" s="1502"/>
      <c r="AI774" s="1502"/>
      <c r="AJ774" s="1502"/>
      <c r="AK774" s="1502"/>
      <c r="AL774" s="1502"/>
      <c r="AM774" s="1502"/>
      <c r="AN774" s="1502"/>
      <c r="AO774" s="1502"/>
      <c r="AP774" s="1502"/>
      <c r="AQ774" s="1502"/>
      <c r="AR774" s="1502"/>
      <c r="AS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DX774" s="290"/>
      <c r="DY774" s="290"/>
      <c r="DZ774" s="290"/>
      <c r="EA774" s="290"/>
      <c r="EB774" s="290"/>
      <c r="EC774" s="290"/>
      <c r="ED774" s="290"/>
      <c r="EE774" s="290"/>
      <c r="EF774" s="290"/>
      <c r="EG774" s="290"/>
      <c r="EH774" s="290"/>
      <c r="EI774" s="290"/>
      <c r="EJ774" s="290"/>
      <c r="EK774" s="290"/>
      <c r="EL774" s="290"/>
      <c r="EM774" s="290"/>
      <c r="EN774" s="290"/>
      <c r="EO774" s="290"/>
      <c r="EP774" s="290"/>
      <c r="EQ774" s="290"/>
      <c r="ER774" s="290"/>
      <c r="ES774" s="290"/>
      <c r="ET774" s="290"/>
      <c r="EU774" s="290"/>
      <c r="EV774" s="290"/>
      <c r="EW774" s="290"/>
      <c r="EX774" s="290"/>
      <c r="EY774" s="290"/>
      <c r="EZ774" s="290"/>
      <c r="FA774" s="290"/>
    </row>
    <row r="775" spans="1:159" ht="12.95" customHeight="1">
      <c r="A775" s="3"/>
      <c r="B775" s="1027"/>
      <c r="C775" s="1502"/>
      <c r="D775" s="1502"/>
      <c r="E775" s="1502"/>
      <c r="F775" s="1502"/>
      <c r="G775" s="1502"/>
      <c r="H775" s="1502"/>
      <c r="I775" s="1502"/>
      <c r="J775" s="1502"/>
      <c r="K775" s="1502"/>
      <c r="L775" s="1502"/>
      <c r="M775" s="1502"/>
      <c r="N775" s="1502"/>
      <c r="O775" s="1502"/>
      <c r="P775" s="1502"/>
      <c r="Q775" s="1502"/>
      <c r="R775" s="1502"/>
      <c r="S775" s="1502"/>
      <c r="T775" s="1502"/>
      <c r="U775" s="1502"/>
      <c r="V775" s="1502"/>
      <c r="W775" s="1502"/>
      <c r="X775" s="1502"/>
      <c r="Y775" s="1502"/>
      <c r="Z775" s="1502"/>
      <c r="AA775" s="1502"/>
      <c r="AB775" s="1502"/>
      <c r="AC775" s="1502"/>
      <c r="AD775" s="1502"/>
      <c r="AE775" s="1502"/>
      <c r="AF775" s="1502"/>
      <c r="AG775" s="1502"/>
      <c r="AH775" s="1502"/>
      <c r="AI775" s="1502"/>
      <c r="AJ775" s="1502"/>
      <c r="AK775" s="1502"/>
      <c r="AL775" s="1502"/>
      <c r="AM775" s="1502"/>
      <c r="AN775" s="1502"/>
      <c r="AO775" s="1502"/>
      <c r="AP775" s="1502"/>
      <c r="AQ775" s="1502"/>
      <c r="AR775" s="1502"/>
      <c r="AS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E775" s="3"/>
      <c r="CF775" s="3"/>
      <c r="CG775" s="3"/>
    </row>
    <row r="776" spans="1:159" ht="12.95" customHeight="1">
      <c r="A776" s="3"/>
      <c r="B776" s="1027"/>
      <c r="C776" s="1502"/>
      <c r="D776" s="1502"/>
      <c r="E776" s="1502"/>
      <c r="F776" s="1502"/>
      <c r="G776" s="1502"/>
      <c r="H776" s="1502"/>
      <c r="I776" s="1502"/>
      <c r="J776" s="1502"/>
      <c r="K776" s="1502"/>
      <c r="L776" s="1502"/>
      <c r="M776" s="1502"/>
      <c r="N776" s="1502"/>
      <c r="O776" s="1502"/>
      <c r="P776" s="1502"/>
      <c r="Q776" s="1502"/>
      <c r="R776" s="1502"/>
      <c r="S776" s="1502"/>
      <c r="T776" s="1502"/>
      <c r="U776" s="1502"/>
      <c r="V776" s="1502"/>
      <c r="W776" s="1502"/>
      <c r="X776" s="1502"/>
      <c r="Y776" s="1502"/>
      <c r="Z776" s="1502"/>
      <c r="AA776" s="1502"/>
      <c r="AB776" s="1502"/>
      <c r="AC776" s="1502"/>
      <c r="AD776" s="1502"/>
      <c r="AE776" s="1502"/>
      <c r="AF776" s="1502"/>
      <c r="AG776" s="1502"/>
      <c r="AH776" s="1502"/>
      <c r="AI776" s="1502"/>
      <c r="AJ776" s="1502"/>
      <c r="AK776" s="1502"/>
      <c r="AL776" s="1502"/>
      <c r="AM776" s="1502"/>
      <c r="AN776" s="1502"/>
      <c r="AO776" s="1502"/>
      <c r="AP776" s="1502"/>
      <c r="AQ776" s="1502"/>
      <c r="AR776" s="1502"/>
      <c r="AS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c r="DX776" s="3"/>
      <c r="DY776" s="3"/>
      <c r="DZ776" s="3"/>
      <c r="EA776" s="3"/>
      <c r="EB776" s="3"/>
      <c r="EC776" s="3"/>
      <c r="ED776" s="3"/>
      <c r="EE776" s="3"/>
      <c r="EF776" s="3"/>
      <c r="EG776" s="3"/>
      <c r="EH776" s="3"/>
      <c r="EI776" s="3"/>
      <c r="EJ776" s="3"/>
      <c r="EK776" s="3"/>
      <c r="EL776" s="3"/>
      <c r="EM776" s="3"/>
      <c r="EN776" s="3"/>
      <c r="EO776" s="3"/>
      <c r="EP776" s="3"/>
      <c r="EQ776" s="3"/>
      <c r="ER776" s="3"/>
      <c r="ES776" s="3"/>
      <c r="ET776" s="3"/>
      <c r="EU776" s="3"/>
      <c r="EV776" s="3"/>
      <c r="EW776" s="3"/>
      <c r="EX776" s="3"/>
      <c r="EY776" s="3"/>
      <c r="EZ776" s="3"/>
      <c r="FA776" s="3"/>
    </row>
    <row r="777" spans="1:159" ht="12.95" customHeight="1">
      <c r="J777" s="1524" t="s">
        <v>389</v>
      </c>
      <c r="K777" s="1316"/>
      <c r="L777" s="1316"/>
      <c r="M777" s="1316"/>
      <c r="N777" s="1317"/>
      <c r="O777" s="1545" t="s">
        <v>285</v>
      </c>
      <c r="P777" s="1545"/>
      <c r="Q777" s="1545"/>
      <c r="R777" s="1545"/>
      <c r="S777" s="1545"/>
      <c r="T777" s="1532" t="s">
        <v>1668</v>
      </c>
      <c r="U777" s="1533"/>
      <c r="V777" s="1533"/>
      <c r="W777" s="1534"/>
      <c r="X777" s="1524" t="s">
        <v>447</v>
      </c>
      <c r="Y777" s="1316"/>
      <c r="Z777" s="1316"/>
      <c r="AA777" s="1316"/>
      <c r="AB777" s="1317"/>
      <c r="AC777" s="1524" t="s">
        <v>286</v>
      </c>
      <c r="AD777" s="1316"/>
      <c r="AE777" s="1316"/>
      <c r="AF777" s="1316"/>
      <c r="AG777" s="1317"/>
      <c r="AH777" s="119"/>
      <c r="AI777" s="116"/>
      <c r="AJ777" s="116"/>
      <c r="AK777" s="116"/>
      <c r="AL777" s="116"/>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9" ht="12.95" customHeight="1">
      <c r="J778" s="1318"/>
      <c r="K778" s="1319"/>
      <c r="L778" s="1319"/>
      <c r="M778" s="1319"/>
      <c r="N778" s="1320"/>
      <c r="O778" s="1545"/>
      <c r="P778" s="1545"/>
      <c r="Q778" s="1545"/>
      <c r="R778" s="1545"/>
      <c r="S778" s="1545"/>
      <c r="T778" s="1535"/>
      <c r="U778" s="1536"/>
      <c r="V778" s="1536"/>
      <c r="W778" s="1537"/>
      <c r="X778" s="1318"/>
      <c r="Y778" s="1319"/>
      <c r="Z778" s="1319"/>
      <c r="AA778" s="1319"/>
      <c r="AB778" s="1320"/>
      <c r="AC778" s="1318"/>
      <c r="AD778" s="1319"/>
      <c r="AE778" s="1319"/>
      <c r="AF778" s="1319"/>
      <c r="AG778" s="1320"/>
      <c r="AH778" s="116"/>
      <c r="AI778" s="116"/>
      <c r="AJ778" s="116"/>
      <c r="AK778" s="116"/>
      <c r="AL778" s="116"/>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9" ht="12.95" customHeight="1">
      <c r="J779" s="1318"/>
      <c r="K779" s="1319"/>
      <c r="L779" s="1319"/>
      <c r="M779" s="1319"/>
      <c r="N779" s="1320"/>
      <c r="O779" s="1545"/>
      <c r="P779" s="1545"/>
      <c r="Q779" s="1545"/>
      <c r="R779" s="1545"/>
      <c r="S779" s="1545"/>
      <c r="T779" s="1535"/>
      <c r="U779" s="1536"/>
      <c r="V779" s="1536"/>
      <c r="W779" s="1537"/>
      <c r="X779" s="1318"/>
      <c r="Y779" s="1319"/>
      <c r="Z779" s="1319"/>
      <c r="AA779" s="1319"/>
      <c r="AB779" s="1320"/>
      <c r="AC779" s="1318"/>
      <c r="AD779" s="1319"/>
      <c r="AE779" s="1319"/>
      <c r="AF779" s="1319"/>
      <c r="AG779" s="1320"/>
      <c r="AH779" s="116"/>
      <c r="AK779" s="116"/>
      <c r="AL779" s="11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9" ht="12.95" customHeight="1">
      <c r="J780" s="1321"/>
      <c r="K780" s="1322"/>
      <c r="L780" s="1322"/>
      <c r="M780" s="1322"/>
      <c r="N780" s="1323"/>
      <c r="O780" s="1545"/>
      <c r="P780" s="1545"/>
      <c r="Q780" s="1545"/>
      <c r="R780" s="1545"/>
      <c r="S780" s="1545"/>
      <c r="T780" s="1538"/>
      <c r="U780" s="1539"/>
      <c r="V780" s="1539"/>
      <c r="W780" s="1540"/>
      <c r="X780" s="1321"/>
      <c r="Y780" s="1322"/>
      <c r="Z780" s="1322"/>
      <c r="AA780" s="1322"/>
      <c r="AB780" s="1323"/>
      <c r="AC780" s="1321"/>
      <c r="AD780" s="1322"/>
      <c r="AE780" s="1322"/>
      <c r="AF780" s="1322"/>
      <c r="AG780" s="1323"/>
      <c r="AH780" s="116"/>
      <c r="AI780" s="116"/>
      <c r="AJ780" s="116"/>
      <c r="AK780" s="116"/>
      <c r="AL780" s="11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E780" s="3"/>
      <c r="CF780" s="3"/>
      <c r="CP780" s="3" t="s">
        <v>103</v>
      </c>
      <c r="CQ780" s="3"/>
      <c r="CR780" s="3"/>
      <c r="CS780" s="3"/>
      <c r="CT780" s="3"/>
      <c r="CU780" s="3"/>
      <c r="CV780" s="3"/>
      <c r="CW780" s="3"/>
      <c r="CX780" s="3"/>
      <c r="CY780" s="3"/>
      <c r="CZ780" s="3"/>
      <c r="DA780" s="3"/>
      <c r="DB780" s="3"/>
      <c r="DC780" s="3"/>
      <c r="DD780" s="3"/>
      <c r="DE780" s="3"/>
      <c r="DF780" s="3"/>
      <c r="DG780" s="3"/>
      <c r="DH780" s="3"/>
      <c r="DI780" s="3"/>
      <c r="DJ780" s="3"/>
      <c r="DK780" s="3"/>
      <c r="DL780" s="3"/>
      <c r="DM780" s="3"/>
      <c r="DN780" s="3"/>
      <c r="DO780" s="3"/>
      <c r="DP780" s="3"/>
      <c r="DQ780" s="3"/>
      <c r="DR780" s="3"/>
      <c r="DS780" s="3"/>
      <c r="DT780" s="6"/>
      <c r="DU780" s="3"/>
      <c r="DV780" s="3"/>
    </row>
    <row r="781" spans="1:159" ht="12.95" customHeight="1">
      <c r="J781" s="1290" t="s">
        <v>325</v>
      </c>
      <c r="K781" s="1291"/>
      <c r="L781" s="1291"/>
      <c r="M781" s="1291"/>
      <c r="N781" s="1292"/>
      <c r="O781" s="1435">
        <v>1</v>
      </c>
      <c r="P781" s="1435"/>
      <c r="Q781" s="1435"/>
      <c r="R781" s="1435"/>
      <c r="S781" s="1435"/>
      <c r="T781" s="1525">
        <v>604</v>
      </c>
      <c r="U781" s="1526"/>
      <c r="V781" s="1526"/>
      <c r="W781" s="1527"/>
      <c r="X781" s="1296"/>
      <c r="Y781" s="1297"/>
      <c r="Z781" s="1297"/>
      <c r="AA781" s="1297"/>
      <c r="AB781" s="1298"/>
      <c r="AC781" s="1299">
        <f>X781*O781</f>
        <v>0</v>
      </c>
      <c r="AD781" s="1300"/>
      <c r="AE781" s="1300"/>
      <c r="AF781" s="1300"/>
      <c r="AG781" s="1301"/>
      <c r="AH781" s="1016"/>
      <c r="AI781" s="116"/>
      <c r="AJ781" s="116"/>
      <c r="AK781" s="1016"/>
      <c r="AL781" s="101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E781" s="3"/>
      <c r="CF781" s="3"/>
      <c r="CP781" s="1266">
        <f>IF(J781="SRO/Studio",O781,0)</f>
        <v>0</v>
      </c>
      <c r="CQ781" s="1267"/>
      <c r="CR781" s="1267"/>
      <c r="CS781" s="1267"/>
      <c r="CT781" s="1268"/>
      <c r="CU781" s="1288">
        <f>IF(J781="1 Bedroom",O781,0)</f>
        <v>1</v>
      </c>
      <c r="CV781" s="1288"/>
      <c r="CW781" s="1288"/>
      <c r="CX781" s="1288"/>
      <c r="CY781" s="1288"/>
      <c r="CZ781" s="1288">
        <f>IF(J781="2 Bedrooms",O781,0)</f>
        <v>0</v>
      </c>
      <c r="DA781" s="1288"/>
      <c r="DB781" s="1288"/>
      <c r="DC781" s="1288"/>
      <c r="DD781" s="1288"/>
      <c r="DE781" s="1288">
        <f>IF(J781="3 Bedrooms",O781,0)</f>
        <v>0</v>
      </c>
      <c r="DF781" s="1288"/>
      <c r="DG781" s="1288"/>
      <c r="DH781" s="1288"/>
      <c r="DI781" s="1288"/>
      <c r="DJ781" s="1288">
        <f>IF(J781="4 Bedrooms",O781,0)</f>
        <v>0</v>
      </c>
      <c r="DK781" s="1288"/>
      <c r="DL781" s="1288"/>
      <c r="DM781" s="1288"/>
      <c r="DN781" s="1288"/>
      <c r="DO781" s="1288">
        <f>IF(J781="5 Bedrooms",O781,0)</f>
        <v>0</v>
      </c>
      <c r="DP781" s="1288"/>
      <c r="DQ781" s="1288"/>
      <c r="DR781" s="1288"/>
      <c r="DS781" s="1288"/>
      <c r="DT781" s="6"/>
      <c r="DU781" s="3"/>
      <c r="DV781" s="3"/>
    </row>
    <row r="782" spans="1:159" ht="12.95" customHeight="1">
      <c r="J782" s="1290"/>
      <c r="K782" s="1291"/>
      <c r="L782" s="1291"/>
      <c r="M782" s="1291"/>
      <c r="N782" s="1292"/>
      <c r="O782" s="1435"/>
      <c r="P782" s="1435"/>
      <c r="Q782" s="1435"/>
      <c r="R782" s="1435"/>
      <c r="S782" s="1435"/>
      <c r="T782" s="1525"/>
      <c r="U782" s="1526"/>
      <c r="V782" s="1526"/>
      <c r="W782" s="1527"/>
      <c r="X782" s="1296"/>
      <c r="Y782" s="1297"/>
      <c r="Z782" s="1297"/>
      <c r="AA782" s="1297"/>
      <c r="AB782" s="1298"/>
      <c r="AC782" s="1299">
        <f>X782*O782</f>
        <v>0</v>
      </c>
      <c r="AD782" s="1300"/>
      <c r="AE782" s="1300"/>
      <c r="AF782" s="1300"/>
      <c r="AG782" s="1301"/>
      <c r="AH782" s="1016"/>
      <c r="AI782" s="1016"/>
      <c r="AJ782" s="1016"/>
      <c r="AK782" s="1016"/>
      <c r="AL782" s="101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E782" s="3"/>
      <c r="CF782" s="3"/>
      <c r="CP782" s="1266">
        <f>IF(J782="SRO/Studio",O782,0)</f>
        <v>0</v>
      </c>
      <c r="CQ782" s="1267"/>
      <c r="CR782" s="1267"/>
      <c r="CS782" s="1267"/>
      <c r="CT782" s="1268"/>
      <c r="CU782" s="1288">
        <f>IF(J782="1 Bedroom",O782,0)</f>
        <v>0</v>
      </c>
      <c r="CV782" s="1288"/>
      <c r="CW782" s="1288"/>
      <c r="CX782" s="1288"/>
      <c r="CY782" s="1288"/>
      <c r="CZ782" s="1288">
        <f>IF(J782="2 Bedrooms",O782,0)</f>
        <v>0</v>
      </c>
      <c r="DA782" s="1288"/>
      <c r="DB782" s="1288"/>
      <c r="DC782" s="1288"/>
      <c r="DD782" s="1288"/>
      <c r="DE782" s="1288">
        <f>IF(J782="3 Bedrooms",O782,0)</f>
        <v>0</v>
      </c>
      <c r="DF782" s="1288"/>
      <c r="DG782" s="1288"/>
      <c r="DH782" s="1288"/>
      <c r="DI782" s="1288"/>
      <c r="DJ782" s="1288">
        <f>IF(J782="4 Bedrooms",O782,0)</f>
        <v>0</v>
      </c>
      <c r="DK782" s="1288"/>
      <c r="DL782" s="1288"/>
      <c r="DM782" s="1288"/>
      <c r="DN782" s="1288"/>
      <c r="DO782" s="1288">
        <f>IF(J782="5 Bedrooms",O782,0)</f>
        <v>0</v>
      </c>
      <c r="DP782" s="1288"/>
      <c r="DQ782" s="1288"/>
      <c r="DR782" s="1288"/>
      <c r="DS782" s="1288"/>
      <c r="DT782" s="6"/>
      <c r="DU782" s="3"/>
      <c r="DV782" s="3"/>
    </row>
    <row r="783" spans="1:159" ht="12.95" customHeight="1">
      <c r="J783" s="1290"/>
      <c r="K783" s="1291"/>
      <c r="L783" s="1291"/>
      <c r="M783" s="1291"/>
      <c r="N783" s="1292"/>
      <c r="O783" s="1435"/>
      <c r="P783" s="1435"/>
      <c r="Q783" s="1435"/>
      <c r="R783" s="1435"/>
      <c r="S783" s="1435"/>
      <c r="T783" s="1525"/>
      <c r="U783" s="1526"/>
      <c r="V783" s="1526"/>
      <c r="W783" s="1527"/>
      <c r="X783" s="1296"/>
      <c r="Y783" s="1297"/>
      <c r="Z783" s="1297"/>
      <c r="AA783" s="1297"/>
      <c r="AB783" s="1298"/>
      <c r="AC783" s="1299">
        <f>X783*O783</f>
        <v>0</v>
      </c>
      <c r="AD783" s="1300"/>
      <c r="AE783" s="1300"/>
      <c r="AF783" s="1300"/>
      <c r="AG783" s="1301"/>
      <c r="AH783" s="1016"/>
      <c r="AI783" s="1016"/>
      <c r="AJ783" s="1016"/>
      <c r="AK783" s="1016"/>
      <c r="AL783" s="1016"/>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P783" s="1266">
        <f>IF(J783="SRO/Studio",O783,0)</f>
        <v>0</v>
      </c>
      <c r="CQ783" s="1267"/>
      <c r="CR783" s="1267"/>
      <c r="CS783" s="1267"/>
      <c r="CT783" s="1268"/>
      <c r="CU783" s="1288">
        <f>IF(J783="1 Bedroom",O783,0)</f>
        <v>0</v>
      </c>
      <c r="CV783" s="1288"/>
      <c r="CW783" s="1288"/>
      <c r="CX783" s="1288"/>
      <c r="CY783" s="1288"/>
      <c r="CZ783" s="1288">
        <f>IF(J783="2 Bedrooms",O783,0)</f>
        <v>0</v>
      </c>
      <c r="DA783" s="1288"/>
      <c r="DB783" s="1288"/>
      <c r="DC783" s="1288"/>
      <c r="DD783" s="1288"/>
      <c r="DE783" s="1288">
        <f>IF(J783="3 Bedrooms",O783,0)</f>
        <v>0</v>
      </c>
      <c r="DF783" s="1288"/>
      <c r="DG783" s="1288"/>
      <c r="DH783" s="1288"/>
      <c r="DI783" s="1288"/>
      <c r="DJ783" s="1288">
        <f>IF(J783="4 Bedrooms",O783,0)</f>
        <v>0</v>
      </c>
      <c r="DK783" s="1288"/>
      <c r="DL783" s="1288"/>
      <c r="DM783" s="1288"/>
      <c r="DN783" s="1288"/>
      <c r="DO783" s="1288">
        <f>IF(J783="5 Bedrooms",O783,0)</f>
        <v>0</v>
      </c>
      <c r="DP783" s="1288"/>
      <c r="DQ783" s="1288"/>
      <c r="DR783" s="1288"/>
      <c r="DS783" s="1288"/>
      <c r="DT783" s="1007"/>
    </row>
    <row r="784" spans="1:159" ht="12.95" customHeight="1">
      <c r="J784" s="1290"/>
      <c r="K784" s="1291"/>
      <c r="L784" s="1291"/>
      <c r="M784" s="1291"/>
      <c r="N784" s="1292"/>
      <c r="O784" s="1435"/>
      <c r="P784" s="1435"/>
      <c r="Q784" s="1435"/>
      <c r="R784" s="1435"/>
      <c r="S784" s="1435"/>
      <c r="T784" s="1525"/>
      <c r="U784" s="1526"/>
      <c r="V784" s="1526"/>
      <c r="W784" s="1527"/>
      <c r="X784" s="1296"/>
      <c r="Y784" s="1297"/>
      <c r="Z784" s="1297"/>
      <c r="AA784" s="1297"/>
      <c r="AB784" s="1298"/>
      <c r="AC784" s="1299">
        <f>X784*O784</f>
        <v>0</v>
      </c>
      <c r="AD784" s="1300"/>
      <c r="AE784" s="1300"/>
      <c r="AF784" s="1300"/>
      <c r="AG784" s="1301"/>
      <c r="AH784" s="1016"/>
      <c r="AI784" s="1016"/>
      <c r="AJ784" s="1016"/>
      <c r="AK784" s="1016"/>
      <c r="AL784" s="1016"/>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P784" s="1266">
        <f>IF(J784="SRO/Studio",O784,0)</f>
        <v>0</v>
      </c>
      <c r="CQ784" s="1267"/>
      <c r="CR784" s="1267"/>
      <c r="CS784" s="1267"/>
      <c r="CT784" s="1268"/>
      <c r="CU784" s="1288">
        <f>IF(J784="1 Bedroom",O784,0)</f>
        <v>0</v>
      </c>
      <c r="CV784" s="1288"/>
      <c r="CW784" s="1288"/>
      <c r="CX784" s="1288"/>
      <c r="CY784" s="1288"/>
      <c r="CZ784" s="1288">
        <f>IF(J784="2 Bedrooms",O784,0)</f>
        <v>0</v>
      </c>
      <c r="DA784" s="1288"/>
      <c r="DB784" s="1288"/>
      <c r="DC784" s="1288"/>
      <c r="DD784" s="1288"/>
      <c r="DE784" s="1288">
        <f>IF(J784="3 Bedrooms",O784,0)</f>
        <v>0</v>
      </c>
      <c r="DF784" s="1288"/>
      <c r="DG784" s="1288"/>
      <c r="DH784" s="1288"/>
      <c r="DI784" s="1288"/>
      <c r="DJ784" s="1288">
        <f>IF(J784="4 Bedrooms",O784,0)</f>
        <v>0</v>
      </c>
      <c r="DK784" s="1288"/>
      <c r="DL784" s="1288"/>
      <c r="DM784" s="1288"/>
      <c r="DN784" s="1288"/>
      <c r="DO784" s="1288">
        <f>IF(J784="5 Bedrooms",O784,0)</f>
        <v>0</v>
      </c>
      <c r="DP784" s="1288"/>
      <c r="DQ784" s="1288"/>
      <c r="DR784" s="1288"/>
      <c r="DS784" s="1288"/>
    </row>
    <row r="785" spans="1:154" ht="12.95" customHeight="1">
      <c r="J785" s="1360" t="s">
        <v>125</v>
      </c>
      <c r="K785" s="1361"/>
      <c r="L785" s="1361"/>
      <c r="M785" s="1361"/>
      <c r="N785" s="1363"/>
      <c r="O785" s="1269">
        <f>SUM(O781:S784)</f>
        <v>1</v>
      </c>
      <c r="P785" s="1270"/>
      <c r="Q785" s="1270"/>
      <c r="R785" s="1270"/>
      <c r="S785" s="1271"/>
      <c r="X785" s="1360" t="s">
        <v>124</v>
      </c>
      <c r="Y785" s="1361"/>
      <c r="Z785" s="1361"/>
      <c r="AA785" s="1361"/>
      <c r="AB785" s="1363"/>
      <c r="AC785" s="1299">
        <f>SUM(AC781:AG784)</f>
        <v>0</v>
      </c>
      <c r="AD785" s="1300"/>
      <c r="AE785" s="1300"/>
      <c r="AF785" s="1300"/>
      <c r="AG785" s="1301"/>
      <c r="AI785" s="1016"/>
      <c r="AJ785" s="1016"/>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P785" s="1269">
        <f>SUM(CP781:CT784)</f>
        <v>0</v>
      </c>
      <c r="CQ785" s="1270"/>
      <c r="CR785" s="1270"/>
      <c r="CS785" s="1270"/>
      <c r="CT785" s="1271"/>
      <c r="CU785" s="1282">
        <f>SUM(CU781:CY784)</f>
        <v>1</v>
      </c>
      <c r="CV785" s="1283"/>
      <c r="CW785" s="1283"/>
      <c r="CX785" s="1283"/>
      <c r="CY785" s="1284"/>
      <c r="CZ785" s="1282">
        <f>SUM(CZ781:DD784)</f>
        <v>0</v>
      </c>
      <c r="DA785" s="1283"/>
      <c r="DB785" s="1283"/>
      <c r="DC785" s="1283"/>
      <c r="DD785" s="1284"/>
      <c r="DE785" s="1282">
        <f>SUM(DE781:DI784)</f>
        <v>0</v>
      </c>
      <c r="DF785" s="1283"/>
      <c r="DG785" s="1283"/>
      <c r="DH785" s="1283"/>
      <c r="DI785" s="1284"/>
      <c r="DJ785" s="1282">
        <f>SUM(DJ781:DN784)</f>
        <v>0</v>
      </c>
      <c r="DK785" s="1283"/>
      <c r="DL785" s="1283"/>
      <c r="DM785" s="1283"/>
      <c r="DN785" s="1284"/>
      <c r="DO785" s="1282">
        <f>SUM(DO781:DS784)</f>
        <v>0</v>
      </c>
      <c r="DP785" s="1283"/>
      <c r="DQ785" s="1283"/>
      <c r="DR785" s="1283"/>
      <c r="DS785" s="1284"/>
      <c r="DU785" s="857">
        <f>CP785+CU785+CZ785+DE785+DJ785+DO785</f>
        <v>1</v>
      </c>
      <c r="DV785" s="57" t="s">
        <v>1833</v>
      </c>
    </row>
    <row r="786" spans="1:154" ht="12.95" customHeight="1">
      <c r="J786" s="56"/>
      <c r="K786" s="56"/>
      <c r="L786" s="56"/>
      <c r="M786" s="56"/>
      <c r="N786" s="56"/>
      <c r="O786" s="6"/>
      <c r="P786" s="6"/>
      <c r="Q786" s="6"/>
      <c r="R786" s="6"/>
      <c r="S786" s="6"/>
      <c r="T786" s="56"/>
      <c r="U786" s="56"/>
      <c r="V786" s="56"/>
      <c r="W786" s="56"/>
      <c r="X786" s="56"/>
      <c r="Y786" s="176"/>
      <c r="Z786" s="1"/>
      <c r="AA786" s="1"/>
      <c r="AB786" s="1"/>
      <c r="AC786" s="1"/>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T786" s="857">
        <f>CP785*1</f>
        <v>0</v>
      </c>
      <c r="CU786" s="3"/>
      <c r="CV786" s="3"/>
      <c r="CW786" s="3"/>
      <c r="CX786" s="3"/>
      <c r="CY786" s="857">
        <f>CU785*1</f>
        <v>1</v>
      </c>
      <c r="CZ786" s="3"/>
      <c r="DA786" s="3"/>
      <c r="DB786" s="3"/>
      <c r="DC786" s="3"/>
      <c r="DD786" s="857">
        <f>CZ785*2</f>
        <v>0</v>
      </c>
      <c r="DE786" s="3"/>
      <c r="DF786" s="3"/>
      <c r="DG786" s="3"/>
      <c r="DH786" s="3"/>
      <c r="DI786" s="857">
        <f>DE785*3</f>
        <v>0</v>
      </c>
      <c r="DJ786" s="3"/>
      <c r="DK786" s="3"/>
      <c r="DL786" s="3"/>
      <c r="DM786" s="3"/>
      <c r="DN786" s="857">
        <f>DJ785*4</f>
        <v>0</v>
      </c>
      <c r="DO786" s="3"/>
      <c r="DP786" s="3"/>
      <c r="DQ786" s="3"/>
      <c r="DR786" s="3"/>
      <c r="DS786" s="857">
        <f>DO785*5</f>
        <v>0</v>
      </c>
      <c r="DU786" s="857">
        <f>CT786+CY786+DD786+DI786+DN786+DS786</f>
        <v>1</v>
      </c>
      <c r="DV786" s="57" t="s">
        <v>1835</v>
      </c>
    </row>
    <row r="787" spans="1:154" ht="12.95" customHeight="1">
      <c r="B787" s="56"/>
      <c r="C787" s="56"/>
      <c r="D787" s="56"/>
      <c r="E787" s="56"/>
      <c r="F787" s="56"/>
      <c r="G787" s="6"/>
      <c r="H787" s="6"/>
      <c r="I787" s="6"/>
      <c r="J787" s="1289" t="s">
        <v>669</v>
      </c>
      <c r="K787" s="1289"/>
      <c r="L787" s="56"/>
      <c r="M787" s="35" t="s">
        <v>977</v>
      </c>
      <c r="N787" s="56"/>
      <c r="O787" s="56"/>
      <c r="P787" s="56"/>
      <c r="Q787" s="6"/>
      <c r="R787" s="6"/>
      <c r="S787" s="6"/>
      <c r="T787" s="6"/>
      <c r="U787" s="6"/>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4" ht="12.95" customHeight="1">
      <c r="B788" s="56"/>
      <c r="C788" s="56"/>
      <c r="D788" s="56"/>
      <c r="E788" s="56"/>
      <c r="F788" s="56"/>
      <c r="G788" s="6"/>
      <c r="H788" s="6"/>
      <c r="I788" s="6"/>
      <c r="J788" s="6"/>
      <c r="K788" s="6"/>
      <c r="L788" s="56"/>
      <c r="M788" s="35" t="s">
        <v>2046</v>
      </c>
      <c r="N788" s="56"/>
      <c r="O788" s="56"/>
      <c r="P788" s="56"/>
      <c r="Q788" s="6"/>
      <c r="R788" s="6"/>
      <c r="S788" s="6"/>
      <c r="T788" s="6"/>
      <c r="U788" s="6"/>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row>
    <row r="789" spans="1:154" ht="12.95" customHeight="1">
      <c r="A789" s="2" t="s">
        <v>586</v>
      </c>
      <c r="B789" s="57"/>
      <c r="C789" s="57" t="s">
        <v>287</v>
      </c>
      <c r="D789" s="56"/>
      <c r="E789" s="56"/>
      <c r="F789" s="56"/>
      <c r="G789" s="6"/>
      <c r="H789" s="6"/>
      <c r="I789" s="6"/>
      <c r="J789" s="6"/>
      <c r="K789" s="6"/>
      <c r="L789" s="56"/>
      <c r="M789" s="56"/>
      <c r="N789" s="56"/>
      <c r="O789" s="56"/>
      <c r="P789" s="56"/>
      <c r="Q789" s="6"/>
      <c r="R789" s="6"/>
      <c r="S789" s="6"/>
      <c r="T789" s="6"/>
      <c r="U789" s="6"/>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row>
    <row r="790" spans="1:154" ht="12.95" customHeight="1">
      <c r="B790" s="56"/>
      <c r="C790" s="56"/>
      <c r="D790" s="56"/>
      <c r="E790" s="56"/>
      <c r="F790" s="56"/>
      <c r="G790" s="6"/>
      <c r="H790" s="6"/>
      <c r="I790" s="6"/>
      <c r="J790" s="512"/>
      <c r="K790" s="6"/>
      <c r="L790" s="56"/>
      <c r="M790" s="56"/>
      <c r="N790" s="56"/>
      <c r="O790" s="56"/>
      <c r="P790" s="56"/>
      <c r="Q790" s="6"/>
      <c r="R790" s="6"/>
      <c r="S790" s="6"/>
      <c r="T790" s="6"/>
      <c r="U790" s="6"/>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row>
    <row r="791" spans="1:154" ht="12.95" customHeight="1">
      <c r="J791" s="1524" t="s">
        <v>389</v>
      </c>
      <c r="K791" s="1316"/>
      <c r="L791" s="1316"/>
      <c r="M791" s="1316"/>
      <c r="N791" s="1317"/>
      <c r="O791" s="1545" t="s">
        <v>285</v>
      </c>
      <c r="P791" s="1545"/>
      <c r="Q791" s="1545"/>
      <c r="R791" s="1545"/>
      <c r="S791" s="1545"/>
      <c r="T791" s="1532" t="s">
        <v>1668</v>
      </c>
      <c r="U791" s="1533"/>
      <c r="V791" s="1533"/>
      <c r="W791" s="1534"/>
      <c r="X791" s="1524" t="s">
        <v>447</v>
      </c>
      <c r="Y791" s="1316"/>
      <c r="Z791" s="1316"/>
      <c r="AA791" s="1316"/>
      <c r="AB791" s="1317"/>
      <c r="AC791" s="1524" t="s">
        <v>286</v>
      </c>
      <c r="AD791" s="1316"/>
      <c r="AE791" s="1316"/>
      <c r="AF791" s="1316"/>
      <c r="AG791" s="1317"/>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row>
    <row r="792" spans="1:154" ht="12.95" customHeight="1">
      <c r="J792" s="1318"/>
      <c r="K792" s="1319"/>
      <c r="L792" s="1319"/>
      <c r="M792" s="1319"/>
      <c r="N792" s="1320"/>
      <c r="O792" s="1545"/>
      <c r="P792" s="1545"/>
      <c r="Q792" s="1545"/>
      <c r="R792" s="1545"/>
      <c r="S792" s="1545"/>
      <c r="T792" s="1535"/>
      <c r="U792" s="1536"/>
      <c r="V792" s="1536"/>
      <c r="W792" s="1537"/>
      <c r="X792" s="1318"/>
      <c r="Y792" s="1319"/>
      <c r="Z792" s="1319"/>
      <c r="AA792" s="1319"/>
      <c r="AB792" s="1320"/>
      <c r="AC792" s="1318"/>
      <c r="AD792" s="1319"/>
      <c r="AE792" s="1319"/>
      <c r="AF792" s="1319"/>
      <c r="AG792" s="1320"/>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row>
    <row r="793" spans="1:154" ht="12.95" customHeight="1">
      <c r="J793" s="1318"/>
      <c r="K793" s="1319"/>
      <c r="L793" s="1319"/>
      <c r="M793" s="1319"/>
      <c r="N793" s="1320"/>
      <c r="O793" s="1545"/>
      <c r="P793" s="1545"/>
      <c r="Q793" s="1545"/>
      <c r="R793" s="1545"/>
      <c r="S793" s="1545"/>
      <c r="T793" s="1535"/>
      <c r="U793" s="1536"/>
      <c r="V793" s="1536"/>
      <c r="W793" s="1537"/>
      <c r="X793" s="1318"/>
      <c r="Y793" s="1319"/>
      <c r="Z793" s="1319"/>
      <c r="AA793" s="1319"/>
      <c r="AB793" s="1320"/>
      <c r="AC793" s="1318"/>
      <c r="AD793" s="1319"/>
      <c r="AE793" s="1319"/>
      <c r="AF793" s="1319"/>
      <c r="AG793" s="1320"/>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row>
    <row r="794" spans="1:154" ht="12.95" customHeight="1">
      <c r="J794" s="1321"/>
      <c r="K794" s="1322"/>
      <c r="L794" s="1322"/>
      <c r="M794" s="1322"/>
      <c r="N794" s="1323"/>
      <c r="O794" s="1545"/>
      <c r="P794" s="1545"/>
      <c r="Q794" s="1545"/>
      <c r="R794" s="1545"/>
      <c r="S794" s="1545"/>
      <c r="T794" s="1538"/>
      <c r="U794" s="1539"/>
      <c r="V794" s="1539"/>
      <c r="W794" s="1540"/>
      <c r="X794" s="1321"/>
      <c r="Y794" s="1322"/>
      <c r="Z794" s="1322"/>
      <c r="AA794" s="1322"/>
      <c r="AB794" s="1323"/>
      <c r="AC794" s="1321"/>
      <c r="AD794" s="1322"/>
      <c r="AE794" s="1322"/>
      <c r="AF794" s="1322"/>
      <c r="AG794" s="1323"/>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34" t="s">
        <v>104</v>
      </c>
      <c r="CQ794" s="34"/>
      <c r="CR794" s="34"/>
      <c r="CS794" s="3"/>
      <c r="CT794" s="3"/>
      <c r="CU794" s="3"/>
      <c r="CV794" s="3"/>
      <c r="CW794" s="3"/>
      <c r="CX794" s="3"/>
      <c r="CY794" s="3"/>
      <c r="CZ794" s="3"/>
      <c r="DA794" s="3"/>
      <c r="DB794" s="3"/>
      <c r="DC794" s="3"/>
      <c r="DD794" s="3"/>
      <c r="DE794" s="3"/>
      <c r="DF794" s="3"/>
      <c r="DG794" s="3"/>
      <c r="DH794" s="3"/>
      <c r="DI794" s="3"/>
      <c r="DJ794" s="3"/>
      <c r="DK794" s="3"/>
      <c r="DL794" s="3"/>
      <c r="DM794" s="3"/>
      <c r="DN794" s="3"/>
      <c r="DO794" s="3"/>
      <c r="DP794" s="3"/>
      <c r="DQ794" s="3"/>
      <c r="DR794" s="3"/>
      <c r="DS794" s="3"/>
      <c r="DT794" s="3"/>
      <c r="DU794" s="3" t="s">
        <v>1840</v>
      </c>
      <c r="DV794" s="3"/>
      <c r="DW794" s="3"/>
      <c r="DX794" s="3"/>
      <c r="DY794" s="3"/>
      <c r="DZ794" s="3"/>
      <c r="EA794" s="3"/>
      <c r="EB794" s="3"/>
      <c r="EC794" s="3"/>
      <c r="ED794" s="3"/>
      <c r="EE794" s="3"/>
      <c r="EF794" s="3"/>
      <c r="EG794" s="3"/>
      <c r="EH794" s="3"/>
    </row>
    <row r="795" spans="1:154" ht="12.95" customHeight="1">
      <c r="J795" s="1290"/>
      <c r="K795" s="1291"/>
      <c r="L795" s="1291"/>
      <c r="M795" s="1291"/>
      <c r="N795" s="1292"/>
      <c r="O795" s="1435"/>
      <c r="P795" s="1435"/>
      <c r="Q795" s="1435"/>
      <c r="R795" s="1435"/>
      <c r="S795" s="1435"/>
      <c r="T795" s="1525"/>
      <c r="U795" s="1526"/>
      <c r="V795" s="1526"/>
      <c r="W795" s="1527"/>
      <c r="X795" s="1296"/>
      <c r="Y795" s="1297"/>
      <c r="Z795" s="1297"/>
      <c r="AA795" s="1297"/>
      <c r="AB795" s="1298"/>
      <c r="AC795" s="1299">
        <f t="shared" ref="AC795:AC804" si="42">X795*O795</f>
        <v>0</v>
      </c>
      <c r="AD795" s="1300"/>
      <c r="AE795" s="1300"/>
      <c r="AF795" s="1300"/>
      <c r="AG795" s="1301"/>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266">
        <f t="shared" ref="CP795:CP804" si="43">IF(J795="SRO/Studio",O795,0)</f>
        <v>0</v>
      </c>
      <c r="CQ795" s="1267"/>
      <c r="CR795" s="1267"/>
      <c r="CS795" s="1267"/>
      <c r="CT795" s="1268"/>
      <c r="CU795" s="1266">
        <f t="shared" ref="CU795:CU804" si="44">IF(J795="1 Bedroom",O795,0)</f>
        <v>0</v>
      </c>
      <c r="CV795" s="1267"/>
      <c r="CW795" s="1267"/>
      <c r="CX795" s="1267"/>
      <c r="CY795" s="1268"/>
      <c r="CZ795" s="1266">
        <f t="shared" ref="CZ795:CZ804" si="45">IF(J795="2 Bedrooms",O795,0)</f>
        <v>0</v>
      </c>
      <c r="DA795" s="1267"/>
      <c r="DB795" s="1267"/>
      <c r="DC795" s="1267"/>
      <c r="DD795" s="1268"/>
      <c r="DE795" s="1266">
        <f t="shared" ref="DE795:DE804" si="46">IF(J795="3 Bedrooms",O795,0)</f>
        <v>0</v>
      </c>
      <c r="DF795" s="1267"/>
      <c r="DG795" s="1267"/>
      <c r="DH795" s="1267"/>
      <c r="DI795" s="1268"/>
      <c r="DJ795" s="1266">
        <f t="shared" ref="DJ795:DJ804" si="47">IF(J795="4 Bedrooms",O795,0)</f>
        <v>0</v>
      </c>
      <c r="DK795" s="1267"/>
      <c r="DL795" s="1267"/>
      <c r="DM795" s="1267"/>
      <c r="DN795" s="1268"/>
      <c r="DO795" s="1266">
        <f t="shared" ref="DO795:DO804" si="48">IF(J795="5 Bedrooms",O795,0)</f>
        <v>0</v>
      </c>
      <c r="DP795" s="1267"/>
      <c r="DQ795" s="1267"/>
      <c r="DR795" s="1267"/>
      <c r="DS795" s="1268"/>
      <c r="DT795" s="6"/>
      <c r="DU795" s="1266">
        <f t="shared" ref="DU795:DU804" si="49">IF(AND(CP795&gt;=1,AH795&gt;=0.1,AH795&lt;=1),O795,0)</f>
        <v>0</v>
      </c>
      <c r="DV795" s="1267"/>
      <c r="DW795" s="1267"/>
      <c r="DX795" s="1267"/>
      <c r="DY795" s="1268"/>
      <c r="DZ795" s="1266">
        <f t="shared" ref="DZ795:DZ804" si="50">IF(AND(CU795&gt;=1,AH795&gt;=0.1,AH795&lt;=1),O795,0)</f>
        <v>0</v>
      </c>
      <c r="EA795" s="1267"/>
      <c r="EB795" s="1267"/>
      <c r="EC795" s="1267"/>
      <c r="ED795" s="1268"/>
      <c r="EE795" s="1266">
        <f t="shared" ref="EE795:EE804" si="51">IF(AND(CZ795&gt;=1,AH795&gt;=0.1,AH795&lt;=1),O795,0)</f>
        <v>0</v>
      </c>
      <c r="EF795" s="1267"/>
      <c r="EG795" s="1267"/>
      <c r="EH795" s="1267"/>
      <c r="EI795" s="1268"/>
      <c r="EJ795" s="1266">
        <f t="shared" ref="EJ795:EJ804" si="52">IF(AND(DE795&gt;=1,AH795&gt;=0.1,AH795&lt;=1),O795,0)</f>
        <v>0</v>
      </c>
      <c r="EK795" s="1267"/>
      <c r="EL795" s="1267"/>
      <c r="EM795" s="1267"/>
      <c r="EN795" s="1268"/>
      <c r="EO795" s="1266">
        <f t="shared" ref="EO795:EO804" si="53">IF(AND(DJ795&gt;=1,AH795&gt;=0.1,AH795&lt;=1),O795,0)</f>
        <v>0</v>
      </c>
      <c r="EP795" s="1267"/>
      <c r="EQ795" s="1267"/>
      <c r="ER795" s="1267"/>
      <c r="ES795" s="1268"/>
      <c r="ET795" s="1266">
        <f t="shared" ref="ET795:ET804" si="54">IF(AND(DO795&gt;=1,AH795&gt;=0.1,AH795&lt;=1),O795,0)</f>
        <v>0</v>
      </c>
      <c r="EU795" s="1267"/>
      <c r="EV795" s="1267"/>
      <c r="EW795" s="1267"/>
      <c r="EX795" s="1268"/>
    </row>
    <row r="796" spans="1:154" s="14" customFormat="1" ht="12.95" customHeight="1">
      <c r="A796"/>
      <c r="B796"/>
      <c r="C796"/>
      <c r="D796"/>
      <c r="E796"/>
      <c r="F796"/>
      <c r="G796"/>
      <c r="H796"/>
      <c r="I796"/>
      <c r="J796" s="1290"/>
      <c r="K796" s="1291"/>
      <c r="L796" s="1291"/>
      <c r="M796" s="1291"/>
      <c r="N796" s="1292"/>
      <c r="O796" s="1435"/>
      <c r="P796" s="1435"/>
      <c r="Q796" s="1435"/>
      <c r="R796" s="1435"/>
      <c r="S796" s="1435"/>
      <c r="T796" s="1525"/>
      <c r="U796" s="1526"/>
      <c r="V796" s="1526"/>
      <c r="W796" s="1527"/>
      <c r="X796" s="1296"/>
      <c r="Y796" s="1297"/>
      <c r="Z796" s="1297"/>
      <c r="AA796" s="1297"/>
      <c r="AB796" s="1298"/>
      <c r="AC796" s="1299">
        <f t="shared" si="42"/>
        <v>0</v>
      </c>
      <c r="AD796" s="1300"/>
      <c r="AE796" s="1300"/>
      <c r="AF796" s="1300"/>
      <c r="AG796" s="1301"/>
      <c r="AH796"/>
      <c r="AI796"/>
      <c r="AJ796"/>
      <c r="AK796"/>
      <c r="AL796"/>
      <c r="AM796"/>
      <c r="AN796"/>
      <c r="AO796"/>
      <c r="AP796"/>
      <c r="AQ796"/>
      <c r="AR796"/>
      <c r="AS796"/>
      <c r="AT796"/>
      <c r="AU796"/>
      <c r="AV796"/>
      <c r="AW796"/>
      <c r="AX796"/>
      <c r="AY796"/>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P796" s="1266">
        <f t="shared" si="43"/>
        <v>0</v>
      </c>
      <c r="CQ796" s="1267"/>
      <c r="CR796" s="1267"/>
      <c r="CS796" s="1267"/>
      <c r="CT796" s="1268"/>
      <c r="CU796" s="1266">
        <f t="shared" si="44"/>
        <v>0</v>
      </c>
      <c r="CV796" s="1267"/>
      <c r="CW796" s="1267"/>
      <c r="CX796" s="1267"/>
      <c r="CY796" s="1268"/>
      <c r="CZ796" s="1266">
        <f t="shared" si="45"/>
        <v>0</v>
      </c>
      <c r="DA796" s="1267"/>
      <c r="DB796" s="1267"/>
      <c r="DC796" s="1267"/>
      <c r="DD796" s="1268"/>
      <c r="DE796" s="1266">
        <f t="shared" si="46"/>
        <v>0</v>
      </c>
      <c r="DF796" s="1267"/>
      <c r="DG796" s="1267"/>
      <c r="DH796" s="1267"/>
      <c r="DI796" s="1268"/>
      <c r="DJ796" s="1266">
        <f t="shared" si="47"/>
        <v>0</v>
      </c>
      <c r="DK796" s="1267"/>
      <c r="DL796" s="1267"/>
      <c r="DM796" s="1267"/>
      <c r="DN796" s="1268"/>
      <c r="DO796" s="1266">
        <f t="shared" si="48"/>
        <v>0</v>
      </c>
      <c r="DP796" s="1267"/>
      <c r="DQ796" s="1267"/>
      <c r="DR796" s="1267"/>
      <c r="DS796" s="1268"/>
      <c r="DT796" s="6"/>
      <c r="DU796" s="1266">
        <f t="shared" si="49"/>
        <v>0</v>
      </c>
      <c r="DV796" s="1267"/>
      <c r="DW796" s="1267"/>
      <c r="DX796" s="1267"/>
      <c r="DY796" s="1268"/>
      <c r="DZ796" s="1266">
        <f t="shared" si="50"/>
        <v>0</v>
      </c>
      <c r="EA796" s="1267"/>
      <c r="EB796" s="1267"/>
      <c r="EC796" s="1267"/>
      <c r="ED796" s="1268"/>
      <c r="EE796" s="1266">
        <f t="shared" si="51"/>
        <v>0</v>
      </c>
      <c r="EF796" s="1267"/>
      <c r="EG796" s="1267"/>
      <c r="EH796" s="1267"/>
      <c r="EI796" s="1268"/>
      <c r="EJ796" s="1266">
        <f t="shared" si="52"/>
        <v>0</v>
      </c>
      <c r="EK796" s="1267"/>
      <c r="EL796" s="1267"/>
      <c r="EM796" s="1267"/>
      <c r="EN796" s="1268"/>
      <c r="EO796" s="1266">
        <f t="shared" si="53"/>
        <v>0</v>
      </c>
      <c r="EP796" s="1267"/>
      <c r="EQ796" s="1267"/>
      <c r="ER796" s="1267"/>
      <c r="ES796" s="1268"/>
      <c r="ET796" s="1266">
        <f t="shared" si="54"/>
        <v>0</v>
      </c>
      <c r="EU796" s="1267"/>
      <c r="EV796" s="1267"/>
      <c r="EW796" s="1267"/>
      <c r="EX796" s="1268"/>
    </row>
    <row r="797" spans="1:154" s="14" customFormat="1" ht="12.95" customHeight="1">
      <c r="A797"/>
      <c r="B797"/>
      <c r="C797"/>
      <c r="D797"/>
      <c r="E797"/>
      <c r="F797"/>
      <c r="G797"/>
      <c r="H797"/>
      <c r="I797"/>
      <c r="J797" s="1290"/>
      <c r="K797" s="1291"/>
      <c r="L797" s="1291"/>
      <c r="M797" s="1291"/>
      <c r="N797" s="1292"/>
      <c r="O797" s="1435"/>
      <c r="P797" s="1435"/>
      <c r="Q797" s="1435"/>
      <c r="R797" s="1435"/>
      <c r="S797" s="1435"/>
      <c r="T797" s="1525"/>
      <c r="U797" s="1526"/>
      <c r="V797" s="1526"/>
      <c r="W797" s="1527"/>
      <c r="X797" s="1296"/>
      <c r="Y797" s="1297"/>
      <c r="Z797" s="1297"/>
      <c r="AA797" s="1297"/>
      <c r="AB797" s="1298"/>
      <c r="AC797" s="1299">
        <f t="shared" si="42"/>
        <v>0</v>
      </c>
      <c r="AD797" s="1300"/>
      <c r="AE797" s="1300"/>
      <c r="AF797" s="1300"/>
      <c r="AG797" s="1301"/>
      <c r="AH797"/>
      <c r="AI797"/>
      <c r="AJ797"/>
      <c r="AK797"/>
      <c r="AL797"/>
      <c r="AM797"/>
      <c r="AN797"/>
      <c r="AO797"/>
      <c r="AP797"/>
      <c r="AQ797"/>
      <c r="AR797"/>
      <c r="AS797"/>
      <c r="AT797"/>
      <c r="AU797"/>
      <c r="AV797"/>
      <c r="AW797"/>
      <c r="AX797"/>
      <c r="AY797"/>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P797" s="1266">
        <f t="shared" si="43"/>
        <v>0</v>
      </c>
      <c r="CQ797" s="1267"/>
      <c r="CR797" s="1267"/>
      <c r="CS797" s="1267"/>
      <c r="CT797" s="1268"/>
      <c r="CU797" s="1266">
        <f t="shared" si="44"/>
        <v>0</v>
      </c>
      <c r="CV797" s="1267"/>
      <c r="CW797" s="1267"/>
      <c r="CX797" s="1267"/>
      <c r="CY797" s="1268"/>
      <c r="CZ797" s="1266">
        <f t="shared" si="45"/>
        <v>0</v>
      </c>
      <c r="DA797" s="1267"/>
      <c r="DB797" s="1267"/>
      <c r="DC797" s="1267"/>
      <c r="DD797" s="1268"/>
      <c r="DE797" s="1266">
        <f t="shared" si="46"/>
        <v>0</v>
      </c>
      <c r="DF797" s="1267"/>
      <c r="DG797" s="1267"/>
      <c r="DH797" s="1267"/>
      <c r="DI797" s="1268"/>
      <c r="DJ797" s="1266">
        <f t="shared" si="47"/>
        <v>0</v>
      </c>
      <c r="DK797" s="1267"/>
      <c r="DL797" s="1267"/>
      <c r="DM797" s="1267"/>
      <c r="DN797" s="1268"/>
      <c r="DO797" s="1266">
        <f t="shared" si="48"/>
        <v>0</v>
      </c>
      <c r="DP797" s="1267"/>
      <c r="DQ797" s="1267"/>
      <c r="DR797" s="1267"/>
      <c r="DS797" s="1268"/>
      <c r="DT797" s="6"/>
      <c r="DU797" s="1266">
        <f t="shared" si="49"/>
        <v>0</v>
      </c>
      <c r="DV797" s="1267"/>
      <c r="DW797" s="1267"/>
      <c r="DX797" s="1267"/>
      <c r="DY797" s="1268"/>
      <c r="DZ797" s="1266">
        <f t="shared" si="50"/>
        <v>0</v>
      </c>
      <c r="EA797" s="1267"/>
      <c r="EB797" s="1267"/>
      <c r="EC797" s="1267"/>
      <c r="ED797" s="1268"/>
      <c r="EE797" s="1266">
        <f t="shared" si="51"/>
        <v>0</v>
      </c>
      <c r="EF797" s="1267"/>
      <c r="EG797" s="1267"/>
      <c r="EH797" s="1267"/>
      <c r="EI797" s="1268"/>
      <c r="EJ797" s="1266">
        <f t="shared" si="52"/>
        <v>0</v>
      </c>
      <c r="EK797" s="1267"/>
      <c r="EL797" s="1267"/>
      <c r="EM797" s="1267"/>
      <c r="EN797" s="1268"/>
      <c r="EO797" s="1266">
        <f t="shared" si="53"/>
        <v>0</v>
      </c>
      <c r="EP797" s="1267"/>
      <c r="EQ797" s="1267"/>
      <c r="ER797" s="1267"/>
      <c r="ES797" s="1268"/>
      <c r="ET797" s="1266">
        <f t="shared" si="54"/>
        <v>0</v>
      </c>
      <c r="EU797" s="1267"/>
      <c r="EV797" s="1267"/>
      <c r="EW797" s="1267"/>
      <c r="EX797" s="1268"/>
    </row>
    <row r="798" spans="1:154" s="14" customFormat="1" ht="12.95" customHeight="1">
      <c r="A798"/>
      <c r="B798"/>
      <c r="C798"/>
      <c r="D798"/>
      <c r="E798"/>
      <c r="F798"/>
      <c r="G798"/>
      <c r="H798"/>
      <c r="I798"/>
      <c r="J798" s="1290"/>
      <c r="K798" s="1291"/>
      <c r="L798" s="1291"/>
      <c r="M798" s="1291"/>
      <c r="N798" s="1292"/>
      <c r="O798" s="1435"/>
      <c r="P798" s="1435"/>
      <c r="Q798" s="1435"/>
      <c r="R798" s="1435"/>
      <c r="S798" s="1435"/>
      <c r="T798" s="1525"/>
      <c r="U798" s="1526"/>
      <c r="V798" s="1526"/>
      <c r="W798" s="1527"/>
      <c r="X798" s="1296"/>
      <c r="Y798" s="1297"/>
      <c r="Z798" s="1297"/>
      <c r="AA798" s="1297"/>
      <c r="AB798" s="1298"/>
      <c r="AC798" s="1299">
        <f t="shared" si="42"/>
        <v>0</v>
      </c>
      <c r="AD798" s="1300"/>
      <c r="AE798" s="1300"/>
      <c r="AF798" s="1300"/>
      <c r="AG798" s="1301"/>
      <c r="AH798"/>
      <c r="AI798"/>
      <c r="AJ798"/>
      <c r="AK798"/>
      <c r="AL798"/>
      <c r="AM798"/>
      <c r="AN798"/>
      <c r="AO798"/>
      <c r="AP798"/>
      <c r="AQ798"/>
      <c r="AR798"/>
      <c r="AS798"/>
      <c r="AT798"/>
      <c r="AU798"/>
      <c r="AV798"/>
      <c r="AW798"/>
      <c r="AX798"/>
      <c r="AY798"/>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P798" s="1266">
        <f t="shared" si="43"/>
        <v>0</v>
      </c>
      <c r="CQ798" s="1267"/>
      <c r="CR798" s="1267"/>
      <c r="CS798" s="1267"/>
      <c r="CT798" s="1268"/>
      <c r="CU798" s="1266">
        <f t="shared" si="44"/>
        <v>0</v>
      </c>
      <c r="CV798" s="1267"/>
      <c r="CW798" s="1267"/>
      <c r="CX798" s="1267"/>
      <c r="CY798" s="1268"/>
      <c r="CZ798" s="1266">
        <f t="shared" si="45"/>
        <v>0</v>
      </c>
      <c r="DA798" s="1267"/>
      <c r="DB798" s="1267"/>
      <c r="DC798" s="1267"/>
      <c r="DD798" s="1268"/>
      <c r="DE798" s="1266">
        <f t="shared" si="46"/>
        <v>0</v>
      </c>
      <c r="DF798" s="1267"/>
      <c r="DG798" s="1267"/>
      <c r="DH798" s="1267"/>
      <c r="DI798" s="1268"/>
      <c r="DJ798" s="1266">
        <f t="shared" si="47"/>
        <v>0</v>
      </c>
      <c r="DK798" s="1267"/>
      <c r="DL798" s="1267"/>
      <c r="DM798" s="1267"/>
      <c r="DN798" s="1268"/>
      <c r="DO798" s="1266">
        <f t="shared" si="48"/>
        <v>0</v>
      </c>
      <c r="DP798" s="1267"/>
      <c r="DQ798" s="1267"/>
      <c r="DR798" s="1267"/>
      <c r="DS798" s="1268"/>
      <c r="DT798" s="6"/>
      <c r="DU798" s="1266">
        <f t="shared" si="49"/>
        <v>0</v>
      </c>
      <c r="DV798" s="1267"/>
      <c r="DW798" s="1267"/>
      <c r="DX798" s="1267"/>
      <c r="DY798" s="1268"/>
      <c r="DZ798" s="1266">
        <f t="shared" si="50"/>
        <v>0</v>
      </c>
      <c r="EA798" s="1267"/>
      <c r="EB798" s="1267"/>
      <c r="EC798" s="1267"/>
      <c r="ED798" s="1268"/>
      <c r="EE798" s="1266">
        <f t="shared" si="51"/>
        <v>0</v>
      </c>
      <c r="EF798" s="1267"/>
      <c r="EG798" s="1267"/>
      <c r="EH798" s="1267"/>
      <c r="EI798" s="1268"/>
      <c r="EJ798" s="1266">
        <f t="shared" si="52"/>
        <v>0</v>
      </c>
      <c r="EK798" s="1267"/>
      <c r="EL798" s="1267"/>
      <c r="EM798" s="1267"/>
      <c r="EN798" s="1268"/>
      <c r="EO798" s="1266">
        <f t="shared" si="53"/>
        <v>0</v>
      </c>
      <c r="EP798" s="1267"/>
      <c r="EQ798" s="1267"/>
      <c r="ER798" s="1267"/>
      <c r="ES798" s="1268"/>
      <c r="ET798" s="1266">
        <f t="shared" si="54"/>
        <v>0</v>
      </c>
      <c r="EU798" s="1267"/>
      <c r="EV798" s="1267"/>
      <c r="EW798" s="1267"/>
      <c r="EX798" s="1268"/>
    </row>
    <row r="799" spans="1:154" s="14" customFormat="1" ht="12.95" customHeight="1">
      <c r="A799"/>
      <c r="B799"/>
      <c r="C799"/>
      <c r="D799"/>
      <c r="E799"/>
      <c r="F799"/>
      <c r="G799"/>
      <c r="H799"/>
      <c r="I799"/>
      <c r="J799" s="1290"/>
      <c r="K799" s="1291"/>
      <c r="L799" s="1291"/>
      <c r="M799" s="1291"/>
      <c r="N799" s="1292"/>
      <c r="O799" s="1435"/>
      <c r="P799" s="1435"/>
      <c r="Q799" s="1435"/>
      <c r="R799" s="1435"/>
      <c r="S799" s="1435"/>
      <c r="T799" s="1525"/>
      <c r="U799" s="1526"/>
      <c r="V799" s="1526"/>
      <c r="W799" s="1527"/>
      <c r="X799" s="1296"/>
      <c r="Y799" s="1297"/>
      <c r="Z799" s="1297"/>
      <c r="AA799" s="1297"/>
      <c r="AB799" s="1298"/>
      <c r="AC799" s="1299">
        <f t="shared" si="42"/>
        <v>0</v>
      </c>
      <c r="AD799" s="1300"/>
      <c r="AE799" s="1300"/>
      <c r="AF799" s="1300"/>
      <c r="AG799" s="1301"/>
      <c r="AH799"/>
      <c r="AI799"/>
      <c r="AJ799"/>
      <c r="AK799"/>
      <c r="AL799"/>
      <c r="AM799"/>
      <c r="AN799"/>
      <c r="AO799"/>
      <c r="AP799"/>
      <c r="AQ799"/>
      <c r="AR799"/>
      <c r="AS799"/>
      <c r="AT799"/>
      <c r="AU799"/>
      <c r="AV799"/>
      <c r="AW799"/>
      <c r="AX799"/>
      <c r="AY799"/>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P799" s="1266">
        <f t="shared" si="43"/>
        <v>0</v>
      </c>
      <c r="CQ799" s="1267"/>
      <c r="CR799" s="1267"/>
      <c r="CS799" s="1267"/>
      <c r="CT799" s="1268"/>
      <c r="CU799" s="1266">
        <f t="shared" si="44"/>
        <v>0</v>
      </c>
      <c r="CV799" s="1267"/>
      <c r="CW799" s="1267"/>
      <c r="CX799" s="1267"/>
      <c r="CY799" s="1268"/>
      <c r="CZ799" s="1266">
        <f t="shared" si="45"/>
        <v>0</v>
      </c>
      <c r="DA799" s="1267"/>
      <c r="DB799" s="1267"/>
      <c r="DC799" s="1267"/>
      <c r="DD799" s="1268"/>
      <c r="DE799" s="1266">
        <f t="shared" si="46"/>
        <v>0</v>
      </c>
      <c r="DF799" s="1267"/>
      <c r="DG799" s="1267"/>
      <c r="DH799" s="1267"/>
      <c r="DI799" s="1268"/>
      <c r="DJ799" s="1266">
        <f t="shared" si="47"/>
        <v>0</v>
      </c>
      <c r="DK799" s="1267"/>
      <c r="DL799" s="1267"/>
      <c r="DM799" s="1267"/>
      <c r="DN799" s="1268"/>
      <c r="DO799" s="1266">
        <f t="shared" si="48"/>
        <v>0</v>
      </c>
      <c r="DP799" s="1267"/>
      <c r="DQ799" s="1267"/>
      <c r="DR799" s="1267"/>
      <c r="DS799" s="1268"/>
      <c r="DT799" s="6"/>
      <c r="DU799" s="1266">
        <f t="shared" si="49"/>
        <v>0</v>
      </c>
      <c r="DV799" s="1267"/>
      <c r="DW799" s="1267"/>
      <c r="DX799" s="1267"/>
      <c r="DY799" s="1268"/>
      <c r="DZ799" s="1266">
        <f t="shared" si="50"/>
        <v>0</v>
      </c>
      <c r="EA799" s="1267"/>
      <c r="EB799" s="1267"/>
      <c r="EC799" s="1267"/>
      <c r="ED799" s="1268"/>
      <c r="EE799" s="1266">
        <f t="shared" si="51"/>
        <v>0</v>
      </c>
      <c r="EF799" s="1267"/>
      <c r="EG799" s="1267"/>
      <c r="EH799" s="1267"/>
      <c r="EI799" s="1268"/>
      <c r="EJ799" s="1266">
        <f t="shared" si="52"/>
        <v>0</v>
      </c>
      <c r="EK799" s="1267"/>
      <c r="EL799" s="1267"/>
      <c r="EM799" s="1267"/>
      <c r="EN799" s="1268"/>
      <c r="EO799" s="1266">
        <f t="shared" si="53"/>
        <v>0</v>
      </c>
      <c r="EP799" s="1267"/>
      <c r="EQ799" s="1267"/>
      <c r="ER799" s="1267"/>
      <c r="ES799" s="1268"/>
      <c r="ET799" s="1266">
        <f t="shared" si="54"/>
        <v>0</v>
      </c>
      <c r="EU799" s="1267"/>
      <c r="EV799" s="1267"/>
      <c r="EW799" s="1267"/>
      <c r="EX799" s="1268"/>
    </row>
    <row r="800" spans="1:154" s="14" customFormat="1" ht="12.95" customHeight="1">
      <c r="A800"/>
      <c r="B800"/>
      <c r="C800"/>
      <c r="D800"/>
      <c r="E800"/>
      <c r="F800"/>
      <c r="G800"/>
      <c r="H800"/>
      <c r="I800"/>
      <c r="J800" s="1290"/>
      <c r="K800" s="1291"/>
      <c r="L800" s="1291"/>
      <c r="M800" s="1291"/>
      <c r="N800" s="1292"/>
      <c r="O800" s="1435"/>
      <c r="P800" s="1435"/>
      <c r="Q800" s="1435"/>
      <c r="R800" s="1435"/>
      <c r="S800" s="1435"/>
      <c r="T800" s="1525"/>
      <c r="U800" s="1526"/>
      <c r="V800" s="1526"/>
      <c r="W800" s="1527"/>
      <c r="X800" s="1296"/>
      <c r="Y800" s="1297"/>
      <c r="Z800" s="1297"/>
      <c r="AA800" s="1297"/>
      <c r="AB800" s="1298"/>
      <c r="AC800" s="1299">
        <f t="shared" si="42"/>
        <v>0</v>
      </c>
      <c r="AD800" s="1300"/>
      <c r="AE800" s="1300"/>
      <c r="AF800" s="1300"/>
      <c r="AG800" s="1301"/>
      <c r="AH800"/>
      <c r="AI800"/>
      <c r="AJ800"/>
      <c r="AK800"/>
      <c r="AL800"/>
      <c r="AM800"/>
      <c r="AN800"/>
      <c r="AO800"/>
      <c r="AP800"/>
      <c r="AQ800"/>
      <c r="AR800"/>
      <c r="AS800"/>
      <c r="AT800"/>
      <c r="AU800"/>
      <c r="AV800"/>
      <c r="AW800"/>
      <c r="AX800"/>
      <c r="AY800"/>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P800" s="1266">
        <f t="shared" si="43"/>
        <v>0</v>
      </c>
      <c r="CQ800" s="1267"/>
      <c r="CR800" s="1267"/>
      <c r="CS800" s="1267"/>
      <c r="CT800" s="1268"/>
      <c r="CU800" s="1266">
        <f t="shared" si="44"/>
        <v>0</v>
      </c>
      <c r="CV800" s="1267"/>
      <c r="CW800" s="1267"/>
      <c r="CX800" s="1267"/>
      <c r="CY800" s="1268"/>
      <c r="CZ800" s="1266">
        <f t="shared" si="45"/>
        <v>0</v>
      </c>
      <c r="DA800" s="1267"/>
      <c r="DB800" s="1267"/>
      <c r="DC800" s="1267"/>
      <c r="DD800" s="1268"/>
      <c r="DE800" s="1266">
        <f t="shared" si="46"/>
        <v>0</v>
      </c>
      <c r="DF800" s="1267"/>
      <c r="DG800" s="1267"/>
      <c r="DH800" s="1267"/>
      <c r="DI800" s="1268"/>
      <c r="DJ800" s="1266">
        <f t="shared" si="47"/>
        <v>0</v>
      </c>
      <c r="DK800" s="1267"/>
      <c r="DL800" s="1267"/>
      <c r="DM800" s="1267"/>
      <c r="DN800" s="1268"/>
      <c r="DO800" s="1266">
        <f t="shared" si="48"/>
        <v>0</v>
      </c>
      <c r="DP800" s="1267"/>
      <c r="DQ800" s="1267"/>
      <c r="DR800" s="1267"/>
      <c r="DS800" s="1268"/>
      <c r="DT800" s="6"/>
      <c r="DU800" s="1266">
        <f t="shared" si="49"/>
        <v>0</v>
      </c>
      <c r="DV800" s="1267"/>
      <c r="DW800" s="1267"/>
      <c r="DX800" s="1267"/>
      <c r="DY800" s="1268"/>
      <c r="DZ800" s="1266">
        <f t="shared" si="50"/>
        <v>0</v>
      </c>
      <c r="EA800" s="1267"/>
      <c r="EB800" s="1267"/>
      <c r="EC800" s="1267"/>
      <c r="ED800" s="1268"/>
      <c r="EE800" s="1266">
        <f t="shared" si="51"/>
        <v>0</v>
      </c>
      <c r="EF800" s="1267"/>
      <c r="EG800" s="1267"/>
      <c r="EH800" s="1267"/>
      <c r="EI800" s="1268"/>
      <c r="EJ800" s="1266">
        <f t="shared" si="52"/>
        <v>0</v>
      </c>
      <c r="EK800" s="1267"/>
      <c r="EL800" s="1267"/>
      <c r="EM800" s="1267"/>
      <c r="EN800" s="1268"/>
      <c r="EO800" s="1266">
        <f t="shared" si="53"/>
        <v>0</v>
      </c>
      <c r="EP800" s="1267"/>
      <c r="EQ800" s="1267"/>
      <c r="ER800" s="1267"/>
      <c r="ES800" s="1268"/>
      <c r="ET800" s="1266">
        <f t="shared" si="54"/>
        <v>0</v>
      </c>
      <c r="EU800" s="1267"/>
      <c r="EV800" s="1267"/>
      <c r="EW800" s="1267"/>
      <c r="EX800" s="1268"/>
    </row>
    <row r="801" spans="1:154" s="14" customFormat="1" ht="12.95" customHeight="1">
      <c r="A801"/>
      <c r="B801"/>
      <c r="C801"/>
      <c r="D801"/>
      <c r="E801"/>
      <c r="F801"/>
      <c r="G801"/>
      <c r="H801"/>
      <c r="I801"/>
      <c r="J801" s="1290"/>
      <c r="K801" s="1291"/>
      <c r="L801" s="1291"/>
      <c r="M801" s="1291"/>
      <c r="N801" s="1292"/>
      <c r="O801" s="1435"/>
      <c r="P801" s="1435"/>
      <c r="Q801" s="1435"/>
      <c r="R801" s="1435"/>
      <c r="S801" s="1435"/>
      <c r="T801" s="1525"/>
      <c r="U801" s="1526"/>
      <c r="V801" s="1526"/>
      <c r="W801" s="1527"/>
      <c r="X801" s="1296"/>
      <c r="Y801" s="1297"/>
      <c r="Z801" s="1297"/>
      <c r="AA801" s="1297"/>
      <c r="AB801" s="1298"/>
      <c r="AC801" s="1299">
        <f t="shared" si="42"/>
        <v>0</v>
      </c>
      <c r="AD801" s="1300"/>
      <c r="AE801" s="1300"/>
      <c r="AF801" s="1300"/>
      <c r="AG801" s="1301"/>
      <c r="AH801"/>
      <c r="AI801"/>
      <c r="AJ801"/>
      <c r="AK801"/>
      <c r="AL801"/>
      <c r="AM801"/>
      <c r="AN801"/>
      <c r="AO801"/>
      <c r="AP801"/>
      <c r="AQ801"/>
      <c r="AR801"/>
      <c r="AS801"/>
      <c r="AT801"/>
      <c r="AU801"/>
      <c r="AV801"/>
      <c r="AW801"/>
      <c r="AX801"/>
      <c r="AY801"/>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P801" s="1266">
        <f t="shared" si="43"/>
        <v>0</v>
      </c>
      <c r="CQ801" s="1267"/>
      <c r="CR801" s="1267"/>
      <c r="CS801" s="1267"/>
      <c r="CT801" s="1268"/>
      <c r="CU801" s="1266">
        <f t="shared" si="44"/>
        <v>0</v>
      </c>
      <c r="CV801" s="1267"/>
      <c r="CW801" s="1267"/>
      <c r="CX801" s="1267"/>
      <c r="CY801" s="1268"/>
      <c r="CZ801" s="1266">
        <f t="shared" si="45"/>
        <v>0</v>
      </c>
      <c r="DA801" s="1267"/>
      <c r="DB801" s="1267"/>
      <c r="DC801" s="1267"/>
      <c r="DD801" s="1268"/>
      <c r="DE801" s="1266">
        <f t="shared" si="46"/>
        <v>0</v>
      </c>
      <c r="DF801" s="1267"/>
      <c r="DG801" s="1267"/>
      <c r="DH801" s="1267"/>
      <c r="DI801" s="1268"/>
      <c r="DJ801" s="1266">
        <f t="shared" si="47"/>
        <v>0</v>
      </c>
      <c r="DK801" s="1267"/>
      <c r="DL801" s="1267"/>
      <c r="DM801" s="1267"/>
      <c r="DN801" s="1268"/>
      <c r="DO801" s="1266">
        <f t="shared" si="48"/>
        <v>0</v>
      </c>
      <c r="DP801" s="1267"/>
      <c r="DQ801" s="1267"/>
      <c r="DR801" s="1267"/>
      <c r="DS801" s="1268"/>
      <c r="DT801" s="6"/>
      <c r="DU801" s="1266">
        <f t="shared" si="49"/>
        <v>0</v>
      </c>
      <c r="DV801" s="1267"/>
      <c r="DW801" s="1267"/>
      <c r="DX801" s="1267"/>
      <c r="DY801" s="1268"/>
      <c r="DZ801" s="1266">
        <f t="shared" si="50"/>
        <v>0</v>
      </c>
      <c r="EA801" s="1267"/>
      <c r="EB801" s="1267"/>
      <c r="EC801" s="1267"/>
      <c r="ED801" s="1268"/>
      <c r="EE801" s="1266">
        <f t="shared" si="51"/>
        <v>0</v>
      </c>
      <c r="EF801" s="1267"/>
      <c r="EG801" s="1267"/>
      <c r="EH801" s="1267"/>
      <c r="EI801" s="1268"/>
      <c r="EJ801" s="1266">
        <f t="shared" si="52"/>
        <v>0</v>
      </c>
      <c r="EK801" s="1267"/>
      <c r="EL801" s="1267"/>
      <c r="EM801" s="1267"/>
      <c r="EN801" s="1268"/>
      <c r="EO801" s="1266">
        <f t="shared" si="53"/>
        <v>0</v>
      </c>
      <c r="EP801" s="1267"/>
      <c r="EQ801" s="1267"/>
      <c r="ER801" s="1267"/>
      <c r="ES801" s="1268"/>
      <c r="ET801" s="1266">
        <f t="shared" si="54"/>
        <v>0</v>
      </c>
      <c r="EU801" s="1267"/>
      <c r="EV801" s="1267"/>
      <c r="EW801" s="1267"/>
      <c r="EX801" s="1268"/>
    </row>
    <row r="802" spans="1:154" s="14" customFormat="1" ht="12.95" customHeight="1">
      <c r="A802"/>
      <c r="B802"/>
      <c r="C802"/>
      <c r="D802"/>
      <c r="E802"/>
      <c r="F802"/>
      <c r="G802"/>
      <c r="H802"/>
      <c r="I802"/>
      <c r="J802" s="1290"/>
      <c r="K802" s="1291"/>
      <c r="L802" s="1291"/>
      <c r="M802" s="1291"/>
      <c r="N802" s="1292"/>
      <c r="O802" s="1435"/>
      <c r="P802" s="1435"/>
      <c r="Q802" s="1435"/>
      <c r="R802" s="1435"/>
      <c r="S802" s="1435"/>
      <c r="T802" s="1525"/>
      <c r="U802" s="1526"/>
      <c r="V802" s="1526"/>
      <c r="W802" s="1527"/>
      <c r="X802" s="1296"/>
      <c r="Y802" s="1297"/>
      <c r="Z802" s="1297"/>
      <c r="AA802" s="1297"/>
      <c r="AB802" s="1298"/>
      <c r="AC802" s="1299">
        <f t="shared" si="42"/>
        <v>0</v>
      </c>
      <c r="AD802" s="1300"/>
      <c r="AE802" s="1300"/>
      <c r="AF802" s="1300"/>
      <c r="AG802" s="1301"/>
      <c r="AH802"/>
      <c r="AI802"/>
      <c r="AJ802"/>
      <c r="AK802"/>
      <c r="AL802"/>
      <c r="AM802"/>
      <c r="AN802"/>
      <c r="AO802"/>
      <c r="AP802"/>
      <c r="AQ802"/>
      <c r="AR802"/>
      <c r="AS802"/>
      <c r="AT802"/>
      <c r="AU802"/>
      <c r="AV802"/>
      <c r="AW802"/>
      <c r="AX802"/>
      <c r="AY802"/>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P802" s="1266">
        <f t="shared" si="43"/>
        <v>0</v>
      </c>
      <c r="CQ802" s="1267"/>
      <c r="CR802" s="1267"/>
      <c r="CS802" s="1267"/>
      <c r="CT802" s="1268"/>
      <c r="CU802" s="1266">
        <f t="shared" si="44"/>
        <v>0</v>
      </c>
      <c r="CV802" s="1267"/>
      <c r="CW802" s="1267"/>
      <c r="CX802" s="1267"/>
      <c r="CY802" s="1268"/>
      <c r="CZ802" s="1266">
        <f t="shared" si="45"/>
        <v>0</v>
      </c>
      <c r="DA802" s="1267"/>
      <c r="DB802" s="1267"/>
      <c r="DC802" s="1267"/>
      <c r="DD802" s="1268"/>
      <c r="DE802" s="1266">
        <f t="shared" si="46"/>
        <v>0</v>
      </c>
      <c r="DF802" s="1267"/>
      <c r="DG802" s="1267"/>
      <c r="DH802" s="1267"/>
      <c r="DI802" s="1268"/>
      <c r="DJ802" s="1266">
        <f t="shared" si="47"/>
        <v>0</v>
      </c>
      <c r="DK802" s="1267"/>
      <c r="DL802" s="1267"/>
      <c r="DM802" s="1267"/>
      <c r="DN802" s="1268"/>
      <c r="DO802" s="1266">
        <f t="shared" si="48"/>
        <v>0</v>
      </c>
      <c r="DP802" s="1267"/>
      <c r="DQ802" s="1267"/>
      <c r="DR802" s="1267"/>
      <c r="DS802" s="1268"/>
      <c r="DT802" s="6"/>
      <c r="DU802" s="1266">
        <f t="shared" si="49"/>
        <v>0</v>
      </c>
      <c r="DV802" s="1267"/>
      <c r="DW802" s="1267"/>
      <c r="DX802" s="1267"/>
      <c r="DY802" s="1268"/>
      <c r="DZ802" s="1266">
        <f t="shared" si="50"/>
        <v>0</v>
      </c>
      <c r="EA802" s="1267"/>
      <c r="EB802" s="1267"/>
      <c r="EC802" s="1267"/>
      <c r="ED802" s="1268"/>
      <c r="EE802" s="1266">
        <f t="shared" si="51"/>
        <v>0</v>
      </c>
      <c r="EF802" s="1267"/>
      <c r="EG802" s="1267"/>
      <c r="EH802" s="1267"/>
      <c r="EI802" s="1268"/>
      <c r="EJ802" s="1266">
        <f t="shared" si="52"/>
        <v>0</v>
      </c>
      <c r="EK802" s="1267"/>
      <c r="EL802" s="1267"/>
      <c r="EM802" s="1267"/>
      <c r="EN802" s="1268"/>
      <c r="EO802" s="1266">
        <f t="shared" si="53"/>
        <v>0</v>
      </c>
      <c r="EP802" s="1267"/>
      <c r="EQ802" s="1267"/>
      <c r="ER802" s="1267"/>
      <c r="ES802" s="1268"/>
      <c r="ET802" s="1266">
        <f t="shared" si="54"/>
        <v>0</v>
      </c>
      <c r="EU802" s="1267"/>
      <c r="EV802" s="1267"/>
      <c r="EW802" s="1267"/>
      <c r="EX802" s="1268"/>
    </row>
    <row r="803" spans="1:154" s="14" customFormat="1" ht="12.95" customHeight="1">
      <c r="A803"/>
      <c r="B803"/>
      <c r="C803"/>
      <c r="D803"/>
      <c r="E803"/>
      <c r="F803"/>
      <c r="G803"/>
      <c r="H803"/>
      <c r="I803"/>
      <c r="J803" s="1290"/>
      <c r="K803" s="1291"/>
      <c r="L803" s="1291"/>
      <c r="M803" s="1291"/>
      <c r="N803" s="1292"/>
      <c r="O803" s="1435"/>
      <c r="P803" s="1435"/>
      <c r="Q803" s="1435"/>
      <c r="R803" s="1435"/>
      <c r="S803" s="1435"/>
      <c r="T803" s="1525"/>
      <c r="U803" s="1526"/>
      <c r="V803" s="1526"/>
      <c r="W803" s="1527"/>
      <c r="X803" s="1296"/>
      <c r="Y803" s="1297"/>
      <c r="Z803" s="1297"/>
      <c r="AA803" s="1297"/>
      <c r="AB803" s="1298"/>
      <c r="AC803" s="1299">
        <f t="shared" si="42"/>
        <v>0</v>
      </c>
      <c r="AD803" s="1300"/>
      <c r="AE803" s="1300"/>
      <c r="AF803" s="1300"/>
      <c r="AG803" s="1301"/>
      <c r="AH803"/>
      <c r="AI803"/>
      <c r="AJ803"/>
      <c r="AK803"/>
      <c r="AL803"/>
      <c r="AM803"/>
      <c r="AN803"/>
      <c r="AO803"/>
      <c r="AP803"/>
      <c r="AQ803"/>
      <c r="AR803"/>
      <c r="AS803"/>
      <c r="AT803"/>
      <c r="AU803"/>
      <c r="AV803"/>
      <c r="AW803"/>
      <c r="AX803"/>
      <c r="AY80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P803" s="1266">
        <f t="shared" si="43"/>
        <v>0</v>
      </c>
      <c r="CQ803" s="1267"/>
      <c r="CR803" s="1267"/>
      <c r="CS803" s="1267"/>
      <c r="CT803" s="1268"/>
      <c r="CU803" s="1266">
        <f t="shared" si="44"/>
        <v>0</v>
      </c>
      <c r="CV803" s="1267"/>
      <c r="CW803" s="1267"/>
      <c r="CX803" s="1267"/>
      <c r="CY803" s="1268"/>
      <c r="CZ803" s="1266">
        <f t="shared" si="45"/>
        <v>0</v>
      </c>
      <c r="DA803" s="1267"/>
      <c r="DB803" s="1267"/>
      <c r="DC803" s="1267"/>
      <c r="DD803" s="1268"/>
      <c r="DE803" s="1266">
        <f t="shared" si="46"/>
        <v>0</v>
      </c>
      <c r="DF803" s="1267"/>
      <c r="DG803" s="1267"/>
      <c r="DH803" s="1267"/>
      <c r="DI803" s="1268"/>
      <c r="DJ803" s="1266">
        <f t="shared" si="47"/>
        <v>0</v>
      </c>
      <c r="DK803" s="1267"/>
      <c r="DL803" s="1267"/>
      <c r="DM803" s="1267"/>
      <c r="DN803" s="1268"/>
      <c r="DO803" s="1266">
        <f t="shared" si="48"/>
        <v>0</v>
      </c>
      <c r="DP803" s="1267"/>
      <c r="DQ803" s="1267"/>
      <c r="DR803" s="1267"/>
      <c r="DS803" s="1268"/>
      <c r="DT803" s="6"/>
      <c r="DU803" s="1266">
        <f t="shared" si="49"/>
        <v>0</v>
      </c>
      <c r="DV803" s="1267"/>
      <c r="DW803" s="1267"/>
      <c r="DX803" s="1267"/>
      <c r="DY803" s="1268"/>
      <c r="DZ803" s="1266">
        <f t="shared" si="50"/>
        <v>0</v>
      </c>
      <c r="EA803" s="1267"/>
      <c r="EB803" s="1267"/>
      <c r="EC803" s="1267"/>
      <c r="ED803" s="1268"/>
      <c r="EE803" s="1266">
        <f t="shared" si="51"/>
        <v>0</v>
      </c>
      <c r="EF803" s="1267"/>
      <c r="EG803" s="1267"/>
      <c r="EH803" s="1267"/>
      <c r="EI803" s="1268"/>
      <c r="EJ803" s="1266">
        <f t="shared" si="52"/>
        <v>0</v>
      </c>
      <c r="EK803" s="1267"/>
      <c r="EL803" s="1267"/>
      <c r="EM803" s="1267"/>
      <c r="EN803" s="1268"/>
      <c r="EO803" s="1266">
        <f t="shared" si="53"/>
        <v>0</v>
      </c>
      <c r="EP803" s="1267"/>
      <c r="EQ803" s="1267"/>
      <c r="ER803" s="1267"/>
      <c r="ES803" s="1268"/>
      <c r="ET803" s="1266">
        <f t="shared" si="54"/>
        <v>0</v>
      </c>
      <c r="EU803" s="1267"/>
      <c r="EV803" s="1267"/>
      <c r="EW803" s="1267"/>
      <c r="EX803" s="1268"/>
    </row>
    <row r="804" spans="1:154" s="4" customFormat="1" ht="12.95" customHeight="1">
      <c r="A804"/>
      <c r="B804"/>
      <c r="C804"/>
      <c r="D804"/>
      <c r="E804"/>
      <c r="F804"/>
      <c r="G804"/>
      <c r="H804"/>
      <c r="I804"/>
      <c r="J804" s="1290"/>
      <c r="K804" s="1291"/>
      <c r="L804" s="1291"/>
      <c r="M804" s="1291"/>
      <c r="N804" s="1292"/>
      <c r="O804" s="1435"/>
      <c r="P804" s="1435"/>
      <c r="Q804" s="1435"/>
      <c r="R804" s="1435"/>
      <c r="S804" s="1435"/>
      <c r="T804" s="1525"/>
      <c r="U804" s="1526"/>
      <c r="V804" s="1526"/>
      <c r="W804" s="1527"/>
      <c r="X804" s="1296"/>
      <c r="Y804" s="1297"/>
      <c r="Z804" s="1297"/>
      <c r="AA804" s="1297"/>
      <c r="AB804" s="1298"/>
      <c r="AC804" s="1299">
        <f t="shared" si="42"/>
        <v>0</v>
      </c>
      <c r="AD804" s="1300"/>
      <c r="AE804" s="1300"/>
      <c r="AF804" s="1300"/>
      <c r="AG804" s="1301"/>
      <c r="AH804"/>
      <c r="AI804"/>
      <c r="AJ804"/>
      <c r="AK804"/>
      <c r="AL804"/>
      <c r="AM804"/>
      <c r="AN804"/>
      <c r="AO804"/>
      <c r="AP804"/>
      <c r="AQ804"/>
      <c r="AR804"/>
      <c r="AS804"/>
      <c r="AT804"/>
      <c r="AU804"/>
      <c r="AV804"/>
      <c r="AW804"/>
      <c r="AX804"/>
      <c r="AY804"/>
      <c r="AZ804" s="3"/>
      <c r="CP804" s="1266">
        <f t="shared" si="43"/>
        <v>0</v>
      </c>
      <c r="CQ804" s="1267"/>
      <c r="CR804" s="1267"/>
      <c r="CS804" s="1267"/>
      <c r="CT804" s="1268"/>
      <c r="CU804" s="1266">
        <f t="shared" si="44"/>
        <v>0</v>
      </c>
      <c r="CV804" s="1267"/>
      <c r="CW804" s="1267"/>
      <c r="CX804" s="1267"/>
      <c r="CY804" s="1268"/>
      <c r="CZ804" s="1266">
        <f t="shared" si="45"/>
        <v>0</v>
      </c>
      <c r="DA804" s="1267"/>
      <c r="DB804" s="1267"/>
      <c r="DC804" s="1267"/>
      <c r="DD804" s="1268"/>
      <c r="DE804" s="1266">
        <f t="shared" si="46"/>
        <v>0</v>
      </c>
      <c r="DF804" s="1267"/>
      <c r="DG804" s="1267"/>
      <c r="DH804" s="1267"/>
      <c r="DI804" s="1268"/>
      <c r="DJ804" s="1266">
        <f t="shared" si="47"/>
        <v>0</v>
      </c>
      <c r="DK804" s="1267"/>
      <c r="DL804" s="1267"/>
      <c r="DM804" s="1267"/>
      <c r="DN804" s="1268"/>
      <c r="DO804" s="1266">
        <f t="shared" si="48"/>
        <v>0</v>
      </c>
      <c r="DP804" s="1267"/>
      <c r="DQ804" s="1267"/>
      <c r="DR804" s="1267"/>
      <c r="DS804" s="1268"/>
      <c r="DT804" s="6"/>
      <c r="DU804" s="1266">
        <f t="shared" si="49"/>
        <v>0</v>
      </c>
      <c r="DV804" s="1267"/>
      <c r="DW804" s="1267"/>
      <c r="DX804" s="1267"/>
      <c r="DY804" s="1268"/>
      <c r="DZ804" s="1266">
        <f t="shared" si="50"/>
        <v>0</v>
      </c>
      <c r="EA804" s="1267"/>
      <c r="EB804" s="1267"/>
      <c r="EC804" s="1267"/>
      <c r="ED804" s="1268"/>
      <c r="EE804" s="1266">
        <f t="shared" si="51"/>
        <v>0</v>
      </c>
      <c r="EF804" s="1267"/>
      <c r="EG804" s="1267"/>
      <c r="EH804" s="1267"/>
      <c r="EI804" s="1268"/>
      <c r="EJ804" s="1266">
        <f t="shared" si="52"/>
        <v>0</v>
      </c>
      <c r="EK804" s="1267"/>
      <c r="EL804" s="1267"/>
      <c r="EM804" s="1267"/>
      <c r="EN804" s="1268"/>
      <c r="EO804" s="1266">
        <f t="shared" si="53"/>
        <v>0</v>
      </c>
      <c r="EP804" s="1267"/>
      <c r="EQ804" s="1267"/>
      <c r="ER804" s="1267"/>
      <c r="ES804" s="1268"/>
      <c r="ET804" s="1266">
        <f t="shared" si="54"/>
        <v>0</v>
      </c>
      <c r="EU804" s="1267"/>
      <c r="EV804" s="1267"/>
      <c r="EW804" s="1267"/>
      <c r="EX804" s="1268"/>
    </row>
    <row r="805" spans="1:154" s="4" customFormat="1" ht="12.95" customHeight="1">
      <c r="A805"/>
      <c r="B805"/>
      <c r="C805"/>
      <c r="D805"/>
      <c r="E805"/>
      <c r="F805"/>
      <c r="G805"/>
      <c r="H805"/>
      <c r="I805"/>
      <c r="J805" s="1360" t="s">
        <v>125</v>
      </c>
      <c r="K805" s="1361"/>
      <c r="L805" s="1361"/>
      <c r="M805" s="1361"/>
      <c r="N805" s="1363"/>
      <c r="O805" s="1550">
        <f>SUM(O795:S804)</f>
        <v>0</v>
      </c>
      <c r="P805" s="1550"/>
      <c r="Q805" s="1550"/>
      <c r="R805" s="1550"/>
      <c r="S805" s="1550"/>
      <c r="T805"/>
      <c r="U805"/>
      <c r="V805"/>
      <c r="W805"/>
      <c r="X805" s="898" t="s">
        <v>124</v>
      </c>
      <c r="Y805" s="11"/>
      <c r="Z805" s="11"/>
      <c r="AA805" s="11"/>
      <c r="AB805" s="905"/>
      <c r="AC805" s="1299">
        <f>SUM(AC795:AG804)</f>
        <v>0</v>
      </c>
      <c r="AD805" s="1300"/>
      <c r="AE805" s="1300"/>
      <c r="AF805" s="1300"/>
      <c r="AG805" s="1301"/>
      <c r="AH805"/>
      <c r="AI805"/>
      <c r="AJ805"/>
      <c r="AK805"/>
      <c r="AL805"/>
      <c r="AM805"/>
      <c r="AN805"/>
      <c r="AO805"/>
      <c r="AP805"/>
      <c r="AQ805"/>
      <c r="AR805"/>
      <c r="AS805"/>
      <c r="AT805"/>
      <c r="AU805"/>
      <c r="AV805"/>
      <c r="AW805"/>
      <c r="AX805"/>
      <c r="AY805"/>
      <c r="AZ805" s="3"/>
      <c r="BA805"/>
      <c r="CP805" s="1269">
        <f>SUM(CP795:CT804)</f>
        <v>0</v>
      </c>
      <c r="CQ805" s="1270"/>
      <c r="CR805" s="1270"/>
      <c r="CS805" s="1270"/>
      <c r="CT805" s="1271"/>
      <c r="CU805" s="1282">
        <f>SUM(CU795:CY804)</f>
        <v>0</v>
      </c>
      <c r="CV805" s="1283"/>
      <c r="CW805" s="1283"/>
      <c r="CX805" s="1283"/>
      <c r="CY805" s="1284"/>
      <c r="CZ805" s="1282">
        <f>SUM(CZ795:DD804)</f>
        <v>0</v>
      </c>
      <c r="DA805" s="1283"/>
      <c r="DB805" s="1283"/>
      <c r="DC805" s="1283"/>
      <c r="DD805" s="1284"/>
      <c r="DE805" s="1282">
        <f>SUM(DE795:DI804)</f>
        <v>0</v>
      </c>
      <c r="DF805" s="1283"/>
      <c r="DG805" s="1283"/>
      <c r="DH805" s="1283"/>
      <c r="DI805" s="1284"/>
      <c r="DJ805" s="1282">
        <f>SUM(DJ795:DN804)</f>
        <v>0</v>
      </c>
      <c r="DK805" s="1283"/>
      <c r="DL805" s="1283"/>
      <c r="DM805" s="1283"/>
      <c r="DN805" s="1284"/>
      <c r="DO805" s="1282">
        <f>SUM(DO795:DS804)</f>
        <v>0</v>
      </c>
      <c r="DP805" s="1283"/>
      <c r="DQ805" s="1283"/>
      <c r="DR805" s="1283"/>
      <c r="DS805" s="1284"/>
      <c r="DT805" s="1007"/>
      <c r="DU805" s="1269">
        <f>SUM(DU795:DY804)</f>
        <v>0</v>
      </c>
      <c r="DV805" s="1270"/>
      <c r="DW805" s="1270"/>
      <c r="DX805" s="1270"/>
      <c r="DY805" s="1271"/>
      <c r="DZ805" s="1269">
        <f>SUM(DZ795:ED804)</f>
        <v>0</v>
      </c>
      <c r="EA805" s="1270"/>
      <c r="EB805" s="1270"/>
      <c r="EC805" s="1270"/>
      <c r="ED805" s="1271"/>
      <c r="EE805" s="1269">
        <f>SUM(EE795:EI804)</f>
        <v>0</v>
      </c>
      <c r="EF805" s="1270"/>
      <c r="EG805" s="1270"/>
      <c r="EH805" s="1270"/>
      <c r="EI805" s="1271"/>
      <c r="EJ805" s="1269">
        <f>SUM(EJ795:EN804)</f>
        <v>0</v>
      </c>
      <c r="EK805" s="1270"/>
      <c r="EL805" s="1270"/>
      <c r="EM805" s="1270"/>
      <c r="EN805" s="1271"/>
      <c r="EO805" s="1269">
        <f>SUM(EO795:ES804)</f>
        <v>0</v>
      </c>
      <c r="EP805" s="1270"/>
      <c r="EQ805" s="1270"/>
      <c r="ER805" s="1270"/>
      <c r="ES805" s="1271"/>
      <c r="ET805" s="1269">
        <f>SUM(ET795:EX804)</f>
        <v>0</v>
      </c>
      <c r="EU805" s="1270"/>
      <c r="EV805" s="1270"/>
      <c r="EW805" s="1270"/>
      <c r="EX805" s="1271"/>
    </row>
    <row r="806" spans="1:154" s="4" customFormat="1" ht="12.95" customHeight="1">
      <c r="A806"/>
      <c r="B806"/>
      <c r="C806" s="1544" t="str">
        <f>IF(O805&lt;&gt;AG447,"! Total market rate units in the Unit Mix Table above does not match the number of  market rate units on row #"&amp;TEXT(ROW(D447),"#"),"")</f>
        <v/>
      </c>
      <c r="D806" s="1544"/>
      <c r="E806" s="1544"/>
      <c r="F806" s="1544"/>
      <c r="G806" s="1544"/>
      <c r="H806" s="1544"/>
      <c r="I806" s="1544"/>
      <c r="J806" s="1544"/>
      <c r="K806" s="1544"/>
      <c r="L806" s="1544"/>
      <c r="M806" s="1544"/>
      <c r="N806" s="1544"/>
      <c r="O806" s="1544"/>
      <c r="P806" s="1544"/>
      <c r="Q806" s="1544"/>
      <c r="R806" s="1544"/>
      <c r="S806" s="1544"/>
      <c r="T806" s="1544"/>
      <c r="U806" s="1544"/>
      <c r="V806" s="1544"/>
      <c r="W806" s="1544"/>
      <c r="X806" s="1544"/>
      <c r="Y806" s="1544"/>
      <c r="Z806" s="1544"/>
      <c r="AA806" s="1544"/>
      <c r="AB806" s="1544"/>
      <c r="AC806" s="1544"/>
      <c r="AD806" s="1544"/>
      <c r="AE806" s="1544"/>
      <c r="AF806" s="1544"/>
      <c r="AG806" s="1544"/>
      <c r="AH806" s="1544"/>
      <c r="AI806" s="1544"/>
      <c r="AJ806" s="1544"/>
      <c r="AK806" s="1544"/>
      <c r="AL806" s="1544"/>
      <c r="AM806" s="1544"/>
      <c r="AN806" s="1544"/>
      <c r="AO806"/>
      <c r="AP806"/>
      <c r="AQ806"/>
      <c r="AR806"/>
      <c r="AS806"/>
      <c r="AT806"/>
      <c r="AU806"/>
      <c r="AV806"/>
      <c r="AW806"/>
      <c r="AX806"/>
      <c r="AY806"/>
      <c r="AZ806" s="30"/>
      <c r="BA806" s="30"/>
      <c r="CP806"/>
      <c r="CQ806"/>
      <c r="CR806"/>
      <c r="CS806"/>
      <c r="CT806" s="857">
        <f>CP805*1</f>
        <v>0</v>
      </c>
      <c r="CU806" s="3"/>
      <c r="CV806" s="3"/>
      <c r="CW806" s="3"/>
      <c r="CX806" s="3"/>
      <c r="CY806" s="857">
        <f>CU805*1</f>
        <v>0</v>
      </c>
      <c r="CZ806" s="3"/>
      <c r="DA806" s="3"/>
      <c r="DB806" s="3"/>
      <c r="DC806" s="3"/>
      <c r="DD806" s="857">
        <f>CZ805*2</f>
        <v>0</v>
      </c>
      <c r="DE806" s="3"/>
      <c r="DF806" s="3"/>
      <c r="DG806" s="3"/>
      <c r="DH806" s="3"/>
      <c r="DI806" s="857">
        <f>DE805*3</f>
        <v>0</v>
      </c>
      <c r="DJ806" s="3"/>
      <c r="DK806" s="3"/>
      <c r="DL806" s="3"/>
      <c r="DM806" s="3"/>
      <c r="DN806" s="857">
        <f>DJ805*4</f>
        <v>0</v>
      </c>
      <c r="DO806" s="3"/>
      <c r="DP806" s="3"/>
      <c r="DQ806" s="3"/>
      <c r="DR806" s="3"/>
      <c r="DS806" s="857">
        <f>DO805*5</f>
        <v>0</v>
      </c>
      <c r="DT806" s="3"/>
      <c r="DU806"/>
      <c r="DV806"/>
      <c r="DW806"/>
      <c r="DX806"/>
      <c r="DY806" s="3"/>
      <c r="DZ806" s="3"/>
      <c r="EA806" s="3"/>
      <c r="EB806" s="3"/>
      <c r="EC806" s="3"/>
      <c r="ED806" s="3"/>
      <c r="EE806" s="3"/>
      <c r="EF806" s="3"/>
      <c r="EG806" s="3"/>
      <c r="EH806" s="3"/>
      <c r="EI806" s="3"/>
      <c r="EJ806" s="3"/>
      <c r="EK806" s="3"/>
      <c r="EL806" s="3"/>
      <c r="EM806" s="3"/>
      <c r="EN806" s="3"/>
      <c r="EO806" s="3"/>
      <c r="EP806" s="3"/>
      <c r="EQ806" s="3"/>
      <c r="ER806" s="3"/>
      <c r="ES806" s="3"/>
      <c r="ET806" s="3"/>
      <c r="EU806" s="3"/>
      <c r="EV806" s="3"/>
      <c r="EW806" s="3"/>
      <c r="EX806" s="3"/>
    </row>
    <row r="807" spans="1:154" s="4" customFormat="1" ht="12.95" customHeight="1">
      <c r="A807"/>
      <c r="B807"/>
      <c r="C807" s="1544"/>
      <c r="D807" s="1544"/>
      <c r="E807" s="1544"/>
      <c r="F807" s="1544"/>
      <c r="G807" s="1544"/>
      <c r="H807" s="1544"/>
      <c r="I807" s="1544"/>
      <c r="J807" s="1544"/>
      <c r="K807" s="1544"/>
      <c r="L807" s="1544"/>
      <c r="M807" s="1544"/>
      <c r="N807" s="1544"/>
      <c r="O807" s="1544"/>
      <c r="P807" s="1544"/>
      <c r="Q807" s="1544"/>
      <c r="R807" s="1544"/>
      <c r="S807" s="1544"/>
      <c r="T807" s="1544"/>
      <c r="U807" s="1544"/>
      <c r="V807" s="1544"/>
      <c r="W807" s="1544"/>
      <c r="X807" s="1544"/>
      <c r="Y807" s="1544"/>
      <c r="Z807" s="1544"/>
      <c r="AA807" s="1544"/>
      <c r="AB807" s="1544"/>
      <c r="AC807" s="1544"/>
      <c r="AD807" s="1544"/>
      <c r="AE807" s="1544"/>
      <c r="AF807" s="1544"/>
      <c r="AG807" s="1544"/>
      <c r="AH807" s="1544"/>
      <c r="AI807" s="1544"/>
      <c r="AJ807" s="1544"/>
      <c r="AK807" s="1544"/>
      <c r="AL807" s="1544"/>
      <c r="AM807" s="1544"/>
      <c r="AN807" s="1544"/>
      <c r="AO807"/>
      <c r="AP807"/>
      <c r="AQ807"/>
      <c r="AR807"/>
      <c r="AS807"/>
      <c r="AT807"/>
      <c r="AU807"/>
      <c r="AV807"/>
      <c r="AW807"/>
      <c r="AX807"/>
      <c r="AY807"/>
      <c r="AZ807" s="30"/>
      <c r="BA807" s="30"/>
      <c r="CP807"/>
      <c r="CQ807"/>
      <c r="CR807"/>
      <c r="CS807"/>
      <c r="CT807"/>
      <c r="CU807"/>
      <c r="CV807"/>
      <c r="CW807"/>
      <c r="CX807"/>
      <c r="CY807"/>
      <c r="CZ807"/>
      <c r="DA807"/>
      <c r="DB807"/>
      <c r="DC807"/>
      <c r="DD807"/>
      <c r="DE807"/>
      <c r="DF807"/>
      <c r="DG807"/>
      <c r="DH807"/>
      <c r="DI807"/>
      <c r="DJ807"/>
      <c r="DK807"/>
      <c r="DL807"/>
      <c r="DM807"/>
      <c r="DN807"/>
      <c r="DO807"/>
      <c r="DP807"/>
      <c r="DQ807"/>
      <c r="DR807"/>
      <c r="DS807"/>
      <c r="DT807" s="3"/>
      <c r="DU807" s="857">
        <f>CP805+CU805+CZ805+DE805+DJ805+DO805</f>
        <v>0</v>
      </c>
      <c r="DV807" s="57" t="s">
        <v>1832</v>
      </c>
      <c r="DW807" s="3"/>
      <c r="DX807" s="3"/>
      <c r="DY807" s="3"/>
      <c r="DZ807" s="3"/>
      <c r="EA807" s="3"/>
      <c r="EB807" s="3"/>
      <c r="EC807" s="3"/>
      <c r="ED807" s="3"/>
      <c r="EE807" s="3"/>
      <c r="EF807" s="3"/>
      <c r="EG807" s="3"/>
      <c r="EH807" s="3"/>
      <c r="EI807"/>
      <c r="EJ807"/>
      <c r="EK807"/>
      <c r="EL807"/>
      <c r="EM807"/>
      <c r="EN807"/>
      <c r="EO807"/>
      <c r="EP807"/>
      <c r="EQ807"/>
      <c r="ER807"/>
      <c r="ES807" s="56" t="s">
        <v>1841</v>
      </c>
      <c r="ET807" s="1279">
        <f>SUM(DU805:EX805)</f>
        <v>0</v>
      </c>
      <c r="EU807" s="1280"/>
      <c r="EV807" s="1280"/>
      <c r="EW807" s="1280"/>
      <c r="EX807" s="1281"/>
    </row>
    <row r="808" spans="1:154" s="4" customFormat="1" ht="12.95" customHeight="1">
      <c r="A808"/>
      <c r="B808"/>
      <c r="C808"/>
      <c r="D808"/>
      <c r="E808"/>
      <c r="F808"/>
      <c r="G808"/>
      <c r="H808"/>
      <c r="I808"/>
      <c r="J808" s="45"/>
      <c r="K808" s="5"/>
      <c r="L808" s="5"/>
      <c r="M808" s="5"/>
      <c r="N808" s="5"/>
      <c r="O808" s="5"/>
      <c r="P808" s="5"/>
      <c r="Q808" s="5"/>
      <c r="R808" s="5"/>
      <c r="S808" s="5"/>
      <c r="T808" s="5"/>
      <c r="U808" s="5"/>
      <c r="V808" s="5"/>
      <c r="W808" s="5"/>
      <c r="X808" s="54" t="s">
        <v>161</v>
      </c>
      <c r="Y808" s="1531">
        <f>O761+AC785+AC805</f>
        <v>82563</v>
      </c>
      <c r="Z808" s="1531"/>
      <c r="AA808" s="1531"/>
      <c r="AB808" s="1531"/>
      <c r="AC808" s="1531"/>
      <c r="AD808"/>
      <c r="AE808"/>
      <c r="AF808"/>
      <c r="AG808"/>
      <c r="AH808"/>
      <c r="AI808"/>
      <c r="AJ808"/>
      <c r="AK808"/>
      <c r="AL808"/>
      <c r="AM808"/>
      <c r="AN808"/>
      <c r="AO808"/>
      <c r="AP808"/>
      <c r="AQ808"/>
      <c r="AR808"/>
      <c r="AS808"/>
      <c r="AT808"/>
      <c r="AU808"/>
      <c r="AV808"/>
      <c r="AW808"/>
      <c r="AX808"/>
      <c r="AY808"/>
      <c r="AZ808" s="30"/>
      <c r="BA808" s="30"/>
      <c r="CP808"/>
      <c r="CQ808"/>
      <c r="CR808"/>
      <c r="CS808"/>
      <c r="CT808"/>
      <c r="CU808"/>
      <c r="CV808"/>
      <c r="CW808"/>
      <c r="CX808"/>
      <c r="CY808"/>
      <c r="CZ808"/>
      <c r="DA808"/>
      <c r="DB808"/>
      <c r="DC808"/>
      <c r="DD808"/>
      <c r="DE808"/>
      <c r="DF808"/>
      <c r="DG808"/>
      <c r="DH808"/>
      <c r="DI808"/>
      <c r="DJ808"/>
      <c r="DK808"/>
      <c r="DL808"/>
      <c r="DM808"/>
      <c r="DN808"/>
      <c r="DO808"/>
      <c r="DP808"/>
      <c r="DQ808"/>
      <c r="DR808"/>
      <c r="DS808"/>
      <c r="DT808" s="3"/>
      <c r="DU808" s="857">
        <f>CT806+CY806+DD806+DI806+DN806+DS806</f>
        <v>0</v>
      </c>
      <c r="DV808" s="57" t="s">
        <v>1619</v>
      </c>
      <c r="DW808" s="3"/>
      <c r="DX808" s="3"/>
      <c r="DY808" s="3"/>
      <c r="DZ808" s="3"/>
      <c r="EA808" s="3"/>
      <c r="EB808" s="3"/>
      <c r="EC808" s="3"/>
      <c r="ED808" s="3"/>
      <c r="EE808" s="3"/>
      <c r="EF808" s="3"/>
      <c r="EG808" s="3"/>
      <c r="EH808" s="3"/>
      <c r="EI808"/>
      <c r="EJ808"/>
      <c r="EK808"/>
      <c r="EL808"/>
      <c r="EM808"/>
      <c r="EN808"/>
      <c r="EO808"/>
      <c r="EP808"/>
      <c r="EQ808"/>
      <c r="ER808"/>
      <c r="ES808"/>
      <c r="ET808"/>
      <c r="EU808"/>
      <c r="EV808"/>
      <c r="EW808"/>
      <c r="EX808"/>
    </row>
    <row r="809" spans="1:154" s="4" customFormat="1" ht="12.95" customHeight="1">
      <c r="A809"/>
      <c r="B809"/>
      <c r="C809"/>
      <c r="D809"/>
      <c r="E809"/>
      <c r="F809"/>
      <c r="G809"/>
      <c r="H809"/>
      <c r="I809"/>
      <c r="J809" s="47"/>
      <c r="K809" s="48"/>
      <c r="L809" s="48"/>
      <c r="M809" s="48"/>
      <c r="N809" s="48"/>
      <c r="O809" s="48"/>
      <c r="P809" s="48"/>
      <c r="Q809" s="48"/>
      <c r="R809" s="48"/>
      <c r="S809" s="48"/>
      <c r="T809" s="48"/>
      <c r="U809" s="48"/>
      <c r="V809" s="48"/>
      <c r="W809" s="48"/>
      <c r="X809" s="94" t="s">
        <v>162</v>
      </c>
      <c r="Y809" s="1531">
        <f>(O761+AC785+AC805)*12</f>
        <v>990756</v>
      </c>
      <c r="Z809" s="1531"/>
      <c r="AA809" s="1531"/>
      <c r="AB809" s="1531"/>
      <c r="AC809" s="1531"/>
      <c r="AD809"/>
      <c r="AE809"/>
      <c r="AF809"/>
      <c r="AG809"/>
      <c r="AH809"/>
      <c r="AI809"/>
      <c r="AJ809"/>
      <c r="AK809"/>
      <c r="AL809"/>
      <c r="AM809"/>
      <c r="AN809"/>
      <c r="AO809"/>
      <c r="AP809"/>
      <c r="AQ809"/>
      <c r="AR809"/>
      <c r="AS809"/>
      <c r="AT809"/>
      <c r="AU809"/>
      <c r="AV809"/>
      <c r="AW809"/>
      <c r="AX809"/>
      <c r="AY809"/>
      <c r="AZ809" s="14"/>
      <c r="BA809" s="14"/>
      <c r="CP809" s="34" t="s">
        <v>105</v>
      </c>
      <c r="CQ809" s="3"/>
      <c r="CR809" s="3"/>
      <c r="CS809" s="3"/>
      <c r="CT809" s="3"/>
      <c r="CU809" s="3"/>
      <c r="CV809" s="3"/>
      <c r="CW809" s="3"/>
      <c r="CX809" s="3"/>
      <c r="CY809" s="3"/>
      <c r="CZ809" s="3"/>
      <c r="DA809" s="3"/>
      <c r="DB809" s="3"/>
      <c r="DC809" s="3"/>
      <c r="DD809" s="3"/>
      <c r="DE809" s="3"/>
      <c r="DF809" s="3"/>
      <c r="DG809" s="3"/>
      <c r="DH809" s="3"/>
      <c r="DI809" s="3"/>
      <c r="DJ809" s="3"/>
      <c r="DK809" s="3"/>
      <c r="DL809" s="3"/>
      <c r="DM809" s="3"/>
      <c r="DN809" s="3"/>
      <c r="DO809" s="3"/>
      <c r="DP809" s="3"/>
      <c r="DQ809" s="3"/>
      <c r="DR809" s="3"/>
      <c r="DS809" s="3"/>
      <c r="DT809" s="3"/>
      <c r="DU809"/>
      <c r="DV809"/>
    </row>
    <row r="810" spans="1:154" s="4" customFormat="1" ht="12.95" customHeight="1">
      <c r="A810"/>
      <c r="B810" s="2"/>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c r="AV810"/>
      <c r="AW810"/>
      <c r="AX810"/>
      <c r="AY810"/>
      <c r="AZ810" s="14"/>
      <c r="BA810" s="14"/>
      <c r="BB810" s="14"/>
      <c r="BC810" s="14"/>
      <c r="BD810" s="14"/>
      <c r="BE810" s="14"/>
      <c r="BF810" s="14"/>
      <c r="BG810" s="14"/>
      <c r="BH810" s="14"/>
      <c r="BI810" s="14"/>
      <c r="BJ810" s="14"/>
      <c r="BK810" s="14"/>
      <c r="BL810" s="14"/>
      <c r="BM810" s="14"/>
      <c r="BN810" s="69"/>
      <c r="CB810" s="70"/>
      <c r="CC810" s="70"/>
      <c r="CD810" s="70"/>
      <c r="CE810" s="70"/>
      <c r="CF810" s="70"/>
      <c r="CP810" s="1282">
        <f>CP761+CP785+CP805</f>
        <v>1</v>
      </c>
      <c r="CQ810" s="1283"/>
      <c r="CR810" s="1283"/>
      <c r="CS810" s="1283"/>
      <c r="CT810" s="1284"/>
      <c r="CU810" s="1282">
        <f>CU761+CU785+CU805</f>
        <v>41</v>
      </c>
      <c r="CV810" s="1283"/>
      <c r="CW810" s="1283"/>
      <c r="CX810" s="1283"/>
      <c r="CY810" s="1284"/>
      <c r="CZ810" s="1282">
        <f>CZ761+CZ785+CZ805</f>
        <v>7</v>
      </c>
      <c r="DA810" s="1283"/>
      <c r="DB810" s="1283"/>
      <c r="DC810" s="1283"/>
      <c r="DD810" s="1284"/>
      <c r="DE810" s="1282">
        <f>DE761+DE785+DE805</f>
        <v>0</v>
      </c>
      <c r="DF810" s="1283"/>
      <c r="DG810" s="1283"/>
      <c r="DH810" s="1283"/>
      <c r="DI810" s="1284"/>
      <c r="DJ810" s="1282">
        <f>DJ761+DJ785+DJ805</f>
        <v>0</v>
      </c>
      <c r="DK810" s="1283"/>
      <c r="DL810" s="1283"/>
      <c r="DM810" s="1283"/>
      <c r="DN810" s="1284"/>
      <c r="DO810" s="1285">
        <f>DO805+DO785+DO761</f>
        <v>0</v>
      </c>
      <c r="DP810" s="1286"/>
      <c r="DQ810" s="1286"/>
      <c r="DR810" s="1286"/>
      <c r="DS810" s="1287"/>
      <c r="DT810" s="3"/>
      <c r="DU810" s="857">
        <f>DU763+DU808</f>
        <v>55</v>
      </c>
      <c r="DV810" s="57" t="s">
        <v>1837</v>
      </c>
    </row>
    <row r="811" spans="1:154" s="4" customFormat="1" ht="12.95" customHeight="1">
      <c r="A811" s="2" t="s">
        <v>589</v>
      </c>
      <c r="B811" s="2"/>
      <c r="C811" s="2" t="s">
        <v>612</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c r="AV811"/>
      <c r="AW811"/>
      <c r="AX811"/>
      <c r="AY811"/>
      <c r="AZ811" s="14"/>
      <c r="BA811" s="14"/>
      <c r="BB811" s="14"/>
      <c r="BC811" s="14"/>
      <c r="BD811" s="14"/>
      <c r="BE811" s="14"/>
      <c r="BF811" s="14"/>
      <c r="BG811" s="14"/>
      <c r="BH811" s="14"/>
      <c r="BI811" s="14"/>
      <c r="BJ811" s="14"/>
      <c r="BK811" s="14"/>
      <c r="BL811" s="14"/>
      <c r="BM811" s="14"/>
      <c r="BN811" s="14"/>
      <c r="CB811" s="70"/>
      <c r="CC811" s="70"/>
      <c r="CD811" s="70"/>
      <c r="CE811" s="70"/>
      <c r="CF811" s="70"/>
      <c r="CP811" s="34"/>
      <c r="CQ811" s="3"/>
      <c r="CR811" s="3"/>
      <c r="CS811" s="3"/>
      <c r="CT811" s="3"/>
      <c r="CU811" s="3"/>
      <c r="CV811" s="3"/>
      <c r="CW811" s="3"/>
      <c r="CX811" s="3"/>
      <c r="CY811" s="3"/>
      <c r="CZ811" s="3"/>
      <c r="DA811" s="3"/>
      <c r="DB811" s="3"/>
      <c r="DC811" s="3"/>
      <c r="DD811" s="3"/>
      <c r="DE811" s="3"/>
      <c r="DF811" s="3"/>
      <c r="DG811" s="3"/>
      <c r="DH811" s="3"/>
      <c r="DI811" s="3"/>
      <c r="DJ811" s="3"/>
      <c r="DK811" s="3"/>
      <c r="DL811" s="3"/>
      <c r="DM811" s="3"/>
      <c r="DN811" s="3"/>
      <c r="DO811" s="3"/>
      <c r="DP811" s="3"/>
      <c r="DQ811" s="3"/>
      <c r="DR811" s="3"/>
      <c r="DS811" s="3"/>
      <c r="DT811" s="3"/>
      <c r="DU811" s="3"/>
      <c r="DV811" s="3"/>
    </row>
    <row r="812" spans="1:154" s="4" customFormat="1" ht="12.95" customHeight="1">
      <c r="A812" s="2"/>
      <c r="B812" s="2"/>
      <c r="C812" s="2" t="s">
        <v>916</v>
      </c>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c r="AV812"/>
      <c r="AW812"/>
      <c r="AX812"/>
      <c r="AY812"/>
      <c r="AZ812" s="14"/>
      <c r="BA812" s="14"/>
      <c r="BB812" s="14"/>
      <c r="BC812" s="14"/>
      <c r="BD812" s="14"/>
      <c r="BE812" s="14"/>
      <c r="BF812" s="14"/>
      <c r="BG812" s="14"/>
      <c r="BH812" s="14"/>
      <c r="BI812" s="14"/>
      <c r="BJ812" s="14"/>
      <c r="BK812" s="14"/>
      <c r="BL812" s="14"/>
      <c r="BM812" s="14"/>
      <c r="BN812" s="14"/>
      <c r="CB812" s="70"/>
      <c r="CC812" s="70"/>
      <c r="CD812" s="70"/>
      <c r="CE812" s="70"/>
      <c r="CF812" s="70"/>
      <c r="CG812" s="70"/>
      <c r="CH812" s="70"/>
      <c r="CI812" s="70"/>
      <c r="CJ812" s="70"/>
      <c r="CK812" s="70"/>
      <c r="CL812" s="70"/>
      <c r="CM812" s="70"/>
      <c r="CN812" s="70"/>
      <c r="CO812" s="70"/>
      <c r="CP812" s="70"/>
      <c r="CQ812" s="70"/>
      <c r="CR812" s="70"/>
      <c r="CS812" s="70"/>
      <c r="CT812" s="70"/>
      <c r="CU812" s="70"/>
      <c r="CV812" s="70"/>
      <c r="CW812" s="70"/>
      <c r="CX812" s="70"/>
      <c r="CY812" s="70"/>
      <c r="CZ812" s="70"/>
      <c r="DA812" s="70"/>
      <c r="DB812" s="70"/>
      <c r="DC812" s="70"/>
      <c r="DD812" s="70"/>
      <c r="DE812" s="70"/>
      <c r="DF812" s="70"/>
      <c r="DG812" s="14"/>
      <c r="DH812" s="14"/>
      <c r="DI812" s="14"/>
      <c r="DJ812" s="14"/>
      <c r="DK812" s="14"/>
      <c r="DL812" s="14"/>
      <c r="DM812" s="14"/>
      <c r="DN812" s="14"/>
      <c r="DO812" s="14"/>
      <c r="DP812" s="14"/>
      <c r="DQ812" s="14"/>
      <c r="DR812" s="14"/>
      <c r="DS812" s="14"/>
      <c r="DT812" s="14"/>
      <c r="DU812" s="14"/>
      <c r="DV812" s="14"/>
    </row>
    <row r="813" spans="1:154" s="4" customFormat="1" ht="12.95" customHeight="1">
      <c r="A813"/>
      <c r="B813" s="2"/>
      <c r="C813"/>
      <c r="D813"/>
      <c r="E813"/>
      <c r="F813"/>
      <c r="G813"/>
      <c r="H813"/>
      <c r="I813"/>
      <c r="J813"/>
      <c r="K813"/>
      <c r="L813"/>
      <c r="M813"/>
      <c r="N813"/>
      <c r="O813"/>
      <c r="P813"/>
      <c r="Q813"/>
      <c r="R813"/>
      <c r="S813"/>
      <c r="T813"/>
      <c r="U813"/>
      <c r="V813"/>
      <c r="W813"/>
      <c r="X813" s="12"/>
      <c r="Y813" s="12"/>
      <c r="Z813" s="12"/>
      <c r="AA813" s="12"/>
      <c r="AB813" s="12"/>
      <c r="AC813" s="12"/>
      <c r="AD813" s="12"/>
      <c r="AE813"/>
      <c r="AF813"/>
      <c r="AG813"/>
      <c r="AH813"/>
      <c r="AI813"/>
      <c r="AJ813"/>
      <c r="AK813"/>
      <c r="AL813"/>
      <c r="AM813"/>
      <c r="AN813"/>
      <c r="AO813"/>
      <c r="AP813"/>
      <c r="AQ813"/>
      <c r="AR813"/>
      <c r="AS813"/>
      <c r="AT813"/>
      <c r="AU813"/>
      <c r="AV813"/>
      <c r="AW813"/>
      <c r="AX813"/>
      <c r="AY813"/>
      <c r="AZ813" s="14"/>
      <c r="BA813" s="14"/>
      <c r="BB813" s="14"/>
      <c r="BC813" s="14"/>
      <c r="BD813" s="14"/>
      <c r="BE813" s="14"/>
      <c r="BF813" s="14"/>
      <c r="BG813" s="14"/>
      <c r="BH813" s="14"/>
      <c r="BI813" s="14"/>
      <c r="BJ813" s="14"/>
      <c r="BK813" s="14"/>
      <c r="BL813" s="14"/>
      <c r="BM813" s="14"/>
      <c r="BN813" s="14"/>
      <c r="CB813" s="70"/>
      <c r="CC813" s="70"/>
      <c r="CD813" s="70"/>
      <c r="CE813" s="70"/>
      <c r="CF813" s="70"/>
      <c r="CG813" s="70"/>
      <c r="CH813" s="70"/>
      <c r="CI813" s="70"/>
      <c r="CJ813" s="70"/>
      <c r="CK813" s="70"/>
      <c r="CL813" s="70"/>
      <c r="CM813" s="70"/>
      <c r="CN813" s="70"/>
      <c r="CO813" s="70"/>
      <c r="CP813" s="70"/>
      <c r="CQ813" s="70"/>
      <c r="CR813" s="70"/>
      <c r="CS813" s="70"/>
      <c r="CT813" s="70"/>
      <c r="CU813" s="70"/>
      <c r="CV813" s="70"/>
      <c r="CW813" s="70"/>
      <c r="CX813" s="70"/>
      <c r="CY813" s="70"/>
      <c r="CZ813" s="70"/>
      <c r="DA813" s="70"/>
      <c r="DB813" s="70"/>
      <c r="DC813" s="70"/>
      <c r="DD813" s="70"/>
      <c r="DE813" s="70"/>
      <c r="DF813" s="70"/>
      <c r="DG813" s="14"/>
      <c r="DH813" s="14"/>
      <c r="DI813" s="14"/>
      <c r="DJ813" s="14"/>
      <c r="DK813" s="14"/>
      <c r="DL813" s="14"/>
      <c r="DM813" s="14"/>
      <c r="DN813" s="14"/>
      <c r="DO813" s="14"/>
      <c r="DP813" s="14"/>
      <c r="DQ813" s="14"/>
      <c r="DR813" s="14"/>
      <c r="DS813" s="14"/>
      <c r="DT813" s="14"/>
      <c r="DU813" s="14"/>
      <c r="DV813" s="14"/>
    </row>
    <row r="814" spans="1:154" s="4" customFormat="1" ht="12.95" customHeight="1">
      <c r="A814"/>
      <c r="B814"/>
      <c r="C814"/>
      <c r="D814"/>
      <c r="E814"/>
      <c r="F814"/>
      <c r="G814"/>
      <c r="H814" s="45" t="s">
        <v>357</v>
      </c>
      <c r="I814" s="5"/>
      <c r="J814" s="5"/>
      <c r="K814" s="5"/>
      <c r="L814" s="5"/>
      <c r="M814" s="5"/>
      <c r="N814" s="5"/>
      <c r="O814" s="5"/>
      <c r="P814" s="5"/>
      <c r="Q814" s="5"/>
      <c r="R814" s="5"/>
      <c r="S814" s="5"/>
      <c r="T814" s="5"/>
      <c r="U814" s="5"/>
      <c r="V814" s="5"/>
      <c r="W814" s="5"/>
      <c r="X814" s="5"/>
      <c r="Y814" s="5"/>
      <c r="Z814" s="1554"/>
      <c r="AA814" s="1552"/>
      <c r="AB814" s="1552"/>
      <c r="AC814" s="1552"/>
      <c r="AD814" s="1552"/>
      <c r="AE814" s="1553"/>
      <c r="AF814"/>
      <c r="AG814"/>
      <c r="AH814"/>
      <c r="AI814"/>
      <c r="AJ814"/>
      <c r="AK814"/>
      <c r="AL814"/>
      <c r="AM814"/>
      <c r="AN814"/>
      <c r="AO814"/>
      <c r="AP814"/>
      <c r="AQ814"/>
      <c r="AR814"/>
      <c r="AS814"/>
      <c r="AT814"/>
      <c r="AU814"/>
      <c r="AV814"/>
      <c r="AW814"/>
      <c r="AX814"/>
      <c r="AY8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54" s="4" customFormat="1" ht="12.95" customHeight="1">
      <c r="A815"/>
      <c r="B815"/>
      <c r="C815"/>
      <c r="D815"/>
      <c r="E815"/>
      <c r="F815"/>
      <c r="G815"/>
      <c r="H815" s="45" t="s">
        <v>358</v>
      </c>
      <c r="I815" s="5"/>
      <c r="J815" s="5"/>
      <c r="K815" s="5"/>
      <c r="L815" s="5"/>
      <c r="M815" s="5"/>
      <c r="N815" s="5"/>
      <c r="O815" s="5"/>
      <c r="P815" s="5"/>
      <c r="Q815" s="5"/>
      <c r="R815" s="5"/>
      <c r="S815" s="5"/>
      <c r="T815" s="5"/>
      <c r="U815" s="5"/>
      <c r="V815" s="5"/>
      <c r="W815" s="5"/>
      <c r="X815" s="5"/>
      <c r="Y815" s="5"/>
      <c r="Z815" s="1551"/>
      <c r="AA815" s="1552"/>
      <c r="AB815" s="1552"/>
      <c r="AC815" s="1552"/>
      <c r="AD815" s="1552"/>
      <c r="AE815" s="1553"/>
      <c r="AF815"/>
      <c r="AG815"/>
      <c r="AH815"/>
      <c r="AI815"/>
      <c r="AJ815"/>
      <c r="AK815"/>
      <c r="AL815"/>
      <c r="AM815"/>
      <c r="AN815"/>
      <c r="AO815"/>
      <c r="AP815"/>
      <c r="AQ815"/>
      <c r="AR815"/>
      <c r="AS815"/>
      <c r="AT815"/>
      <c r="AU815"/>
      <c r="AV815"/>
      <c r="AW815"/>
      <c r="AX815"/>
      <c r="AY815"/>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54" s="4" customFormat="1" ht="12.95" customHeight="1">
      <c r="A816"/>
      <c r="B816"/>
      <c r="C816"/>
      <c r="D816"/>
      <c r="E816"/>
      <c r="F816"/>
      <c r="G816"/>
      <c r="H816" s="45" t="s">
        <v>35</v>
      </c>
      <c r="I816" s="5"/>
      <c r="J816" s="5"/>
      <c r="K816" s="5"/>
      <c r="L816" s="5"/>
      <c r="M816" s="5"/>
      <c r="N816" s="5"/>
      <c r="O816" s="5"/>
      <c r="P816" s="5"/>
      <c r="Q816" s="5"/>
      <c r="R816" s="5"/>
      <c r="S816" s="5"/>
      <c r="T816" s="5"/>
      <c r="U816" s="5"/>
      <c r="V816" s="5"/>
      <c r="W816" s="5"/>
      <c r="X816" s="5"/>
      <c r="Y816" s="5"/>
      <c r="Z816" s="1589">
        <v>0</v>
      </c>
      <c r="AA816" s="1436"/>
      <c r="AB816" s="1436"/>
      <c r="AC816" s="1436"/>
      <c r="AD816" s="1436"/>
      <c r="AE816" s="1590"/>
      <c r="AF816"/>
      <c r="AG816"/>
      <c r="AH816"/>
      <c r="AI816"/>
      <c r="AJ816"/>
      <c r="AK816"/>
      <c r="AL816"/>
      <c r="AM816"/>
      <c r="AN816"/>
      <c r="AO816"/>
      <c r="AP816"/>
      <c r="AQ816"/>
      <c r="AR816"/>
      <c r="AS816"/>
      <c r="AT816"/>
      <c r="AU816" s="3"/>
      <c r="AV816"/>
      <c r="AW816"/>
      <c r="AX816"/>
      <c r="AY816"/>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10" s="4" customFormat="1" ht="12.95" customHeight="1">
      <c r="A817"/>
      <c r="B817"/>
      <c r="C817"/>
      <c r="D817"/>
      <c r="E817"/>
      <c r="F817"/>
      <c r="G817"/>
      <c r="H817" s="45"/>
      <c r="I817" s="5"/>
      <c r="J817" s="5"/>
      <c r="K817" s="5"/>
      <c r="L817" s="5"/>
      <c r="M817" s="5"/>
      <c r="N817" s="5"/>
      <c r="O817" s="5"/>
      <c r="P817" s="5"/>
      <c r="Q817" s="5"/>
      <c r="R817" s="5"/>
      <c r="S817" s="5"/>
      <c r="T817" s="5"/>
      <c r="U817" s="5"/>
      <c r="V817" s="5"/>
      <c r="W817" s="5"/>
      <c r="X817" s="5"/>
      <c r="Y817" s="53" t="s">
        <v>159</v>
      </c>
      <c r="Z817" s="1417">
        <f>'Subsidy Contract Calculation'!J40</f>
        <v>0</v>
      </c>
      <c r="AA817" s="1418"/>
      <c r="AB817" s="1418"/>
      <c r="AC817" s="1418"/>
      <c r="AD817" s="1418"/>
      <c r="AE817" s="1419"/>
      <c r="AF817"/>
      <c r="AG817"/>
      <c r="AH817"/>
      <c r="AI817"/>
      <c r="AJ817"/>
      <c r="AK817"/>
      <c r="AL817"/>
      <c r="AM817"/>
      <c r="AN817"/>
      <c r="AO817"/>
      <c r="AP817"/>
      <c r="AQ817"/>
      <c r="AR817"/>
      <c r="AS817"/>
      <c r="AT817"/>
      <c r="AU817" s="3"/>
      <c r="AV817"/>
      <c r="AW817"/>
      <c r="AX817"/>
      <c r="AY817"/>
      <c r="BE817" s="14"/>
      <c r="BF817" s="14"/>
      <c r="BG817" s="14"/>
      <c r="BH817" s="14"/>
      <c r="BI817" s="14"/>
      <c r="BJ817" s="14"/>
      <c r="BK817" s="14"/>
      <c r="BL817" s="14"/>
      <c r="BM817" s="14"/>
      <c r="BN817" s="14"/>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10" s="4" customFormat="1" ht="12.95" customHeight="1">
      <c r="A818"/>
      <c r="B818"/>
      <c r="C818"/>
      <c r="D818"/>
      <c r="E818"/>
      <c r="F818"/>
      <c r="G818"/>
      <c r="H818"/>
      <c r="I818"/>
      <c r="J818"/>
      <c r="K818"/>
      <c r="L818"/>
      <c r="M818"/>
      <c r="N818"/>
      <c r="O818"/>
      <c r="P818"/>
      <c r="Q818"/>
      <c r="R818"/>
      <c r="S818"/>
      <c r="T818"/>
      <c r="U818"/>
      <c r="V818"/>
      <c r="W818"/>
      <c r="X818" s="12"/>
      <c r="Y818" s="12"/>
      <c r="Z818" s="12"/>
      <c r="AA818" s="12"/>
      <c r="AB818" s="12"/>
      <c r="AC818" s="12"/>
      <c r="AD818" s="12"/>
      <c r="AE818"/>
      <c r="AF818"/>
      <c r="AG818"/>
      <c r="AH818"/>
      <c r="AI818"/>
      <c r="AJ818"/>
      <c r="AK818"/>
      <c r="AL818"/>
      <c r="AM818"/>
      <c r="AN818"/>
      <c r="AO818"/>
      <c r="AP818"/>
      <c r="AQ818"/>
      <c r="AR818"/>
      <c r="AS818"/>
      <c r="AT818"/>
      <c r="AU818" s="3"/>
      <c r="AV818"/>
      <c r="AW818"/>
      <c r="AX818"/>
      <c r="AY818"/>
      <c r="BE818" s="14"/>
      <c r="BF818" s="14"/>
      <c r="BG818" s="14"/>
      <c r="BH818" s="14"/>
      <c r="BI818" s="14"/>
      <c r="BJ818" s="14"/>
      <c r="BK818" s="14"/>
      <c r="BL818" s="14"/>
      <c r="BM818" s="14"/>
      <c r="BN818" s="14"/>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10" s="4" customFormat="1" ht="12.95" customHeight="1">
      <c r="A819" s="2" t="s">
        <v>590</v>
      </c>
      <c r="B819" s="2"/>
      <c r="C819" s="2" t="s">
        <v>288</v>
      </c>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c r="AW819"/>
      <c r="AX819"/>
      <c r="AY819"/>
      <c r="BE819" s="14"/>
      <c r="BF819" s="14"/>
      <c r="BG819" s="14"/>
      <c r="BH819" s="14"/>
      <c r="BI819" s="14"/>
      <c r="BJ819" s="14"/>
      <c r="BK819" s="14"/>
      <c r="BL819" s="14"/>
      <c r="BM819" s="14"/>
      <c r="BN819" s="14"/>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10" s="4" customFormat="1" ht="12.95" customHeight="1">
      <c r="A820"/>
      <c r="B820"/>
      <c r="C820"/>
      <c r="D820"/>
      <c r="E820"/>
      <c r="F820"/>
      <c r="G820"/>
      <c r="H820"/>
      <c r="I820"/>
      <c r="J820"/>
      <c r="K820"/>
      <c r="L820"/>
      <c r="M820"/>
      <c r="N820"/>
      <c r="O820"/>
      <c r="P820"/>
      <c r="Q820"/>
      <c r="R820"/>
      <c r="S820"/>
      <c r="T820"/>
      <c r="U820"/>
      <c r="V820"/>
      <c r="W820"/>
      <c r="X820" s="12"/>
      <c r="Y820" s="12"/>
      <c r="Z820" s="12"/>
      <c r="AA820" s="12"/>
      <c r="AB820" s="12"/>
      <c r="AC820" s="12"/>
      <c r="AD820" s="12"/>
      <c r="AE820"/>
      <c r="AF820"/>
      <c r="AG820"/>
      <c r="AH820"/>
      <c r="AI820"/>
      <c r="AJ820"/>
      <c r="AK820"/>
      <c r="AL820"/>
      <c r="AM820"/>
      <c r="AN820"/>
      <c r="AO820"/>
      <c r="AP820"/>
      <c r="AQ820"/>
      <c r="AR820"/>
      <c r="AS820"/>
      <c r="AT820"/>
      <c r="AU820" s="3"/>
      <c r="AV820"/>
      <c r="AW820"/>
      <c r="AX820"/>
      <c r="AY820"/>
      <c r="BE820" s="14"/>
      <c r="BF820" s="14"/>
      <c r="BG820" s="14"/>
      <c r="BH820" s="14"/>
      <c r="BI820" s="14"/>
      <c r="BJ820" s="14"/>
      <c r="BK820" s="14"/>
      <c r="BL820" s="14"/>
      <c r="BM820" s="14"/>
      <c r="BN820" s="14"/>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10" s="4" customFormat="1" ht="12.95" customHeight="1">
      <c r="A821"/>
      <c r="B821"/>
      <c r="C821"/>
      <c r="D821"/>
      <c r="E821"/>
      <c r="F821"/>
      <c r="G821"/>
      <c r="H821" s="45" t="s">
        <v>36</v>
      </c>
      <c r="I821" s="5"/>
      <c r="J821" s="5"/>
      <c r="K821" s="5"/>
      <c r="L821" s="5"/>
      <c r="M821" s="5"/>
      <c r="N821" s="5"/>
      <c r="O821" s="5"/>
      <c r="P821" s="5"/>
      <c r="Q821" s="5"/>
      <c r="R821" s="5"/>
      <c r="S821" s="5"/>
      <c r="T821" s="5"/>
      <c r="U821" s="5"/>
      <c r="V821" s="5"/>
      <c r="W821" s="5"/>
      <c r="X821" s="5"/>
      <c r="Y821" s="5"/>
      <c r="Z821" s="1420">
        <v>7448</v>
      </c>
      <c r="AA821" s="1272"/>
      <c r="AB821" s="1272"/>
      <c r="AC821" s="1272"/>
      <c r="AD821" s="1272"/>
      <c r="AE821" s="1273"/>
      <c r="AF821"/>
      <c r="AG821"/>
      <c r="AH821"/>
      <c r="AI821"/>
      <c r="AJ821"/>
      <c r="AK821"/>
      <c r="AL821"/>
      <c r="AM821"/>
      <c r="AN821"/>
      <c r="AO821"/>
      <c r="AP821"/>
      <c r="AQ821"/>
      <c r="AR821"/>
      <c r="AS821"/>
      <c r="AT821"/>
      <c r="AU821" s="3"/>
      <c r="AV821"/>
      <c r="AW821"/>
      <c r="AX821"/>
      <c r="AY821"/>
      <c r="BF821" s="14"/>
      <c r="BG821" s="14"/>
      <c r="BH821" s="14"/>
      <c r="BI821" s="14"/>
      <c r="BJ821" s="14"/>
      <c r="BK821" s="14"/>
      <c r="BL821" s="14"/>
      <c r="BM821" s="14"/>
      <c r="BN821" s="14"/>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10" s="4" customFormat="1" ht="12.95" customHeight="1">
      <c r="A822"/>
      <c r="B822"/>
      <c r="C822"/>
      <c r="D822"/>
      <c r="E822"/>
      <c r="F822"/>
      <c r="G822"/>
      <c r="H822" s="45" t="s">
        <v>37</v>
      </c>
      <c r="I822" s="5"/>
      <c r="J822" s="5"/>
      <c r="K822" s="5"/>
      <c r="L822" s="5"/>
      <c r="M822" s="5"/>
      <c r="N822" s="5"/>
      <c r="O822" s="5"/>
      <c r="P822" s="5"/>
      <c r="Q822" s="5"/>
      <c r="R822" s="5"/>
      <c r="S822" s="5"/>
      <c r="T822" s="5"/>
      <c r="U822" s="5"/>
      <c r="V822" s="5"/>
      <c r="W822" s="5"/>
      <c r="X822" s="5"/>
      <c r="Y822" s="5"/>
      <c r="Z822" s="1420"/>
      <c r="AA822" s="1272"/>
      <c r="AB822" s="1272"/>
      <c r="AC822" s="1272"/>
      <c r="AD822" s="1272"/>
      <c r="AE822" s="1273"/>
      <c r="AF822"/>
      <c r="AG822"/>
      <c r="AH822"/>
      <c r="AI822"/>
      <c r="AJ822"/>
      <c r="AK822"/>
      <c r="AL822"/>
      <c r="AM822"/>
      <c r="AN822"/>
      <c r="AO822"/>
      <c r="AP822"/>
      <c r="AQ822"/>
      <c r="AR822"/>
      <c r="AS822"/>
      <c r="AT822"/>
      <c r="AU822" s="3"/>
      <c r="AV822"/>
      <c r="AW822"/>
      <c r="AX822"/>
      <c r="AY822"/>
      <c r="AZ822" s="30"/>
      <c r="BA822" s="30"/>
      <c r="BB822" s="14"/>
      <c r="BC822" s="14"/>
      <c r="BD822" s="14"/>
      <c r="BE822" s="14"/>
      <c r="BF822" s="14"/>
      <c r="BG822" s="14"/>
      <c r="BH822" s="14"/>
      <c r="BI822" s="14"/>
      <c r="BJ822" s="14"/>
      <c r="BK822" s="14"/>
      <c r="BL822" s="14"/>
      <c r="BM822" s="14"/>
      <c r="BN822" s="14"/>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10" s="4" customFormat="1" ht="12.95" customHeight="1">
      <c r="A823"/>
      <c r="B823"/>
      <c r="C823"/>
      <c r="D823"/>
      <c r="E823"/>
      <c r="F823"/>
      <c r="G823"/>
      <c r="H823" s="45" t="s">
        <v>38</v>
      </c>
      <c r="I823" s="5"/>
      <c r="J823" s="5"/>
      <c r="K823" s="5"/>
      <c r="L823" s="5"/>
      <c r="M823" s="5"/>
      <c r="N823" s="5"/>
      <c r="O823" s="5"/>
      <c r="P823" s="5"/>
      <c r="Q823" s="5"/>
      <c r="R823" s="5"/>
      <c r="S823" s="5"/>
      <c r="T823" s="5"/>
      <c r="U823" s="5"/>
      <c r="V823" s="5"/>
      <c r="W823" s="5"/>
      <c r="X823" s="5"/>
      <c r="Y823" s="5"/>
      <c r="Z823" s="1420"/>
      <c r="AA823" s="1272"/>
      <c r="AB823" s="1272"/>
      <c r="AC823" s="1272"/>
      <c r="AD823" s="1272"/>
      <c r="AE823" s="1273"/>
      <c r="AF823"/>
      <c r="AG823"/>
      <c r="AH823"/>
      <c r="AI823"/>
      <c r="AJ823"/>
      <c r="AK823"/>
      <c r="AL823"/>
      <c r="AM823"/>
      <c r="AN823"/>
      <c r="AO823"/>
      <c r="AP823"/>
      <c r="AQ823"/>
      <c r="AR823"/>
      <c r="AS823"/>
      <c r="AT823"/>
      <c r="AU823" s="3"/>
      <c r="AV823"/>
      <c r="AW823"/>
      <c r="AX823"/>
      <c r="AY823"/>
      <c r="AZ823" s="30"/>
      <c r="BA823" s="30"/>
      <c r="BB823" s="14"/>
      <c r="BC823" s="14"/>
      <c r="BD823" s="14"/>
      <c r="BE823" s="14"/>
      <c r="BF823" s="14"/>
      <c r="BG823" s="14"/>
      <c r="BH823" s="14"/>
      <c r="BI823" s="14"/>
      <c r="BJ823" s="14"/>
      <c r="BK823" s="14"/>
      <c r="BL823" s="14"/>
      <c r="BM823" s="14"/>
      <c r="BN823" s="14"/>
      <c r="CB823" s="34"/>
      <c r="CC823" s="34"/>
      <c r="CD823" s="34"/>
      <c r="CE823" s="34"/>
      <c r="CF823" s="34"/>
      <c r="CG823" s="34"/>
      <c r="CH823" s="34"/>
      <c r="CI823" s="34"/>
      <c r="CJ823" s="34"/>
      <c r="CK823" s="34"/>
      <c r="CL823" s="34"/>
      <c r="CM823" s="34"/>
      <c r="CN823" s="34"/>
      <c r="CO823" s="34"/>
      <c r="CP823" s="34"/>
      <c r="CQ823" s="34"/>
      <c r="CR823" s="34"/>
      <c r="CS823" s="34"/>
      <c r="CT823" s="34"/>
      <c r="CU823" s="34"/>
      <c r="CV823" s="34"/>
      <c r="CW823" s="34"/>
      <c r="CX823" s="34"/>
      <c r="CY823" s="34"/>
      <c r="CZ823" s="34"/>
      <c r="DA823" s="34"/>
      <c r="DB823" s="34"/>
      <c r="DC823" s="34"/>
      <c r="DD823" s="34"/>
      <c r="DE823" s="34"/>
      <c r="DF823" s="34"/>
    </row>
    <row r="824" spans="1:110" s="4" customFormat="1" ht="12.95" customHeight="1">
      <c r="A824"/>
      <c r="B824"/>
      <c r="C824"/>
      <c r="D824"/>
      <c r="E824"/>
      <c r="F824"/>
      <c r="G824"/>
      <c r="H824" s="45" t="s">
        <v>39</v>
      </c>
      <c r="I824" s="5"/>
      <c r="J824" s="5"/>
      <c r="K824" s="5"/>
      <c r="L824" s="5"/>
      <c r="M824" s="5"/>
      <c r="N824" s="5"/>
      <c r="O824" s="5"/>
      <c r="P824" s="1541" t="s">
        <v>334</v>
      </c>
      <c r="Q824" s="1542"/>
      <c r="R824" s="1542"/>
      <c r="S824" s="1542"/>
      <c r="T824" s="1542"/>
      <c r="U824" s="1542"/>
      <c r="V824" s="1542"/>
      <c r="W824" s="1542"/>
      <c r="X824" s="1542"/>
      <c r="Y824" s="1543"/>
      <c r="Z824" s="1420"/>
      <c r="AA824" s="1272"/>
      <c r="AB824" s="1272"/>
      <c r="AC824" s="1272"/>
      <c r="AD824" s="1272"/>
      <c r="AE824" s="1273"/>
      <c r="AF824"/>
      <c r="AG824"/>
      <c r="AH824"/>
      <c r="AI824"/>
      <c r="AJ824"/>
      <c r="AK824"/>
      <c r="AL824"/>
      <c r="AM824"/>
      <c r="AN824"/>
      <c r="AO824"/>
      <c r="AP824"/>
      <c r="AQ824"/>
      <c r="AR824"/>
      <c r="AS824"/>
      <c r="AT824"/>
      <c r="AU824" s="3"/>
      <c r="AV824"/>
      <c r="AW824"/>
      <c r="AX824"/>
      <c r="AY824"/>
      <c r="AZ824" s="30"/>
      <c r="BA824" s="30"/>
      <c r="BB824" s="14"/>
      <c r="BC824" s="14"/>
      <c r="BD824" s="14"/>
      <c r="BE824" s="14"/>
      <c r="BF824" s="14"/>
      <c r="BG824" s="14"/>
      <c r="BH824" s="14"/>
      <c r="BI824" s="14"/>
      <c r="BJ824" s="14"/>
      <c r="BK824" s="14"/>
      <c r="BL824" s="14"/>
      <c r="BM824" s="14"/>
      <c r="BN824" s="14"/>
      <c r="CB824" s="34"/>
      <c r="CC824" s="34"/>
      <c r="CD824" s="34"/>
      <c r="CE824" s="34"/>
      <c r="CF824" s="34"/>
      <c r="CG824" s="34"/>
      <c r="CH824" s="34"/>
      <c r="CI824" s="34"/>
      <c r="CJ824" s="34"/>
      <c r="CK824" s="34"/>
      <c r="CL824" s="34"/>
      <c r="CM824" s="34"/>
      <c r="CN824" s="34"/>
      <c r="CO824" s="34"/>
      <c r="CP824" s="34"/>
      <c r="CQ824" s="34"/>
      <c r="CR824" s="34"/>
      <c r="CS824" s="34"/>
      <c r="CT824" s="34"/>
      <c r="CU824" s="34"/>
      <c r="CV824" s="34"/>
      <c r="CW824" s="34"/>
      <c r="CX824" s="34"/>
      <c r="CY824" s="34"/>
      <c r="CZ824" s="34"/>
      <c r="DA824" s="34"/>
      <c r="DB824" s="34"/>
      <c r="DC824" s="34"/>
      <c r="DD824" s="34"/>
      <c r="DE824" s="34"/>
      <c r="DF824" s="34"/>
    </row>
    <row r="825" spans="1:110" s="4" customFormat="1" ht="12.95" customHeight="1">
      <c r="A825"/>
      <c r="B825"/>
      <c r="C825"/>
      <c r="D825"/>
      <c r="E825"/>
      <c r="F825"/>
      <c r="G825"/>
      <c r="H825" s="45"/>
      <c r="I825" s="5"/>
      <c r="J825" s="5"/>
      <c r="K825" s="5"/>
      <c r="L825" s="5"/>
      <c r="M825" s="5"/>
      <c r="N825" s="5"/>
      <c r="O825" s="5"/>
      <c r="P825" s="5"/>
      <c r="Q825" s="5"/>
      <c r="R825" s="5"/>
      <c r="S825" s="5"/>
      <c r="T825" s="5"/>
      <c r="U825" s="5"/>
      <c r="V825" s="5"/>
      <c r="W825" s="5"/>
      <c r="X825" s="5"/>
      <c r="Y825" s="53" t="s">
        <v>160</v>
      </c>
      <c r="Z825" s="1417">
        <f>SUM(Z821:AE824)</f>
        <v>7448</v>
      </c>
      <c r="AA825" s="1418"/>
      <c r="AB825" s="1418"/>
      <c r="AC825" s="1418"/>
      <c r="AD825" s="1418"/>
      <c r="AE825" s="1419"/>
      <c r="AF825"/>
      <c r="AG825"/>
      <c r="AH825"/>
      <c r="AI825"/>
      <c r="AJ825"/>
      <c r="AK825"/>
      <c r="AL825"/>
      <c r="AM825"/>
      <c r="AN825"/>
      <c r="AO825"/>
      <c r="AP825"/>
      <c r="AQ825"/>
      <c r="AR825"/>
      <c r="AS825"/>
      <c r="AT825"/>
      <c r="AU825" s="3"/>
      <c r="AV825"/>
      <c r="AW825"/>
      <c r="AX825"/>
      <c r="AY825"/>
      <c r="AZ825" s="30"/>
      <c r="BA825" s="30"/>
      <c r="BB825" s="14"/>
      <c r="BC825" s="14"/>
    </row>
    <row r="826" spans="1:110" s="4" customFormat="1" ht="12.95" customHeight="1">
      <c r="A826"/>
      <c r="B826"/>
      <c r="C826"/>
      <c r="D826"/>
      <c r="E826"/>
      <c r="F826"/>
      <c r="G826"/>
      <c r="H826" s="45"/>
      <c r="I826" s="5"/>
      <c r="J826" s="5"/>
      <c r="K826" s="5"/>
      <c r="L826" s="5"/>
      <c r="M826" s="5"/>
      <c r="N826" s="5"/>
      <c r="O826" s="5"/>
      <c r="P826" s="5"/>
      <c r="Q826" s="5"/>
      <c r="R826" s="5"/>
      <c r="S826" s="5"/>
      <c r="T826" s="5"/>
      <c r="U826" s="5"/>
      <c r="V826" s="5"/>
      <c r="W826" s="5"/>
      <c r="X826" s="5"/>
      <c r="Y826" s="53" t="s">
        <v>644</v>
      </c>
      <c r="Z826" s="1417">
        <f>Z825+Y809+Z817</f>
        <v>998204</v>
      </c>
      <c r="AA826" s="1418"/>
      <c r="AB826" s="1418"/>
      <c r="AC826" s="1418"/>
      <c r="AD826" s="1418"/>
      <c r="AE826" s="1419"/>
      <c r="AF826"/>
      <c r="AG826"/>
      <c r="AH826"/>
      <c r="AI826"/>
      <c r="AJ826"/>
      <c r="AK826"/>
      <c r="AL826"/>
      <c r="AM826"/>
      <c r="AN826"/>
      <c r="AO826"/>
      <c r="AP826"/>
      <c r="AQ826"/>
      <c r="AR826"/>
      <c r="AS826"/>
      <c r="AT826"/>
      <c r="AU826" s="3"/>
      <c r="AV826" s="3"/>
      <c r="AW826" s="3"/>
      <c r="AX826" s="3"/>
      <c r="AY826" s="3"/>
      <c r="AZ826" s="30"/>
      <c r="BA826" s="30"/>
      <c r="BB826" s="14"/>
      <c r="BC826" s="14"/>
    </row>
    <row r="827" spans="1:110" s="4" customFormat="1" ht="12.95" customHeight="1">
      <c r="A827"/>
      <c r="B827"/>
      <c r="C827"/>
      <c r="D827"/>
      <c r="E827"/>
      <c r="F827"/>
      <c r="G827"/>
      <c r="H827"/>
      <c r="I827"/>
      <c r="J827"/>
      <c r="K827"/>
      <c r="L827"/>
      <c r="M827"/>
      <c r="N827"/>
      <c r="O827"/>
      <c r="P827"/>
      <c r="Q827"/>
      <c r="R827"/>
      <c r="S827"/>
      <c r="T827"/>
      <c r="U827"/>
      <c r="V827"/>
      <c r="W827"/>
      <c r="X827" s="12"/>
      <c r="Y827" s="12"/>
      <c r="Z827" s="12"/>
      <c r="AA827" s="12"/>
      <c r="AB827" s="12"/>
      <c r="AC827" s="12"/>
      <c r="AD827" s="12"/>
      <c r="AE827"/>
      <c r="AF827"/>
      <c r="AG827"/>
      <c r="AH827"/>
      <c r="AI827"/>
      <c r="AJ827"/>
      <c r="AK827"/>
      <c r="AL827"/>
      <c r="AM827"/>
      <c r="AN827"/>
      <c r="AO827"/>
      <c r="AP827"/>
      <c r="AQ827"/>
      <c r="AR827"/>
      <c r="AS827"/>
      <c r="AT827"/>
      <c r="AU827" s="3"/>
      <c r="AV827" s="3"/>
      <c r="AW827" s="3"/>
      <c r="AX827" s="3"/>
      <c r="AY827" s="3"/>
      <c r="AZ827" s="30"/>
      <c r="BA827" s="30"/>
      <c r="BB827" s="14"/>
      <c r="BC827" s="14"/>
    </row>
    <row r="828" spans="1:110" s="4" customFormat="1" ht="12.95" customHeight="1">
      <c r="A828" s="2" t="s">
        <v>592</v>
      </c>
      <c r="B828" s="2"/>
      <c r="C828" s="2" t="s">
        <v>425</v>
      </c>
      <c r="D828"/>
      <c r="E828"/>
      <c r="F828"/>
      <c r="G828"/>
      <c r="H828"/>
      <c r="I828"/>
      <c r="J828"/>
      <c r="K828"/>
      <c r="L828"/>
      <c r="M828"/>
      <c r="N828"/>
      <c r="O828"/>
      <c r="P828"/>
      <c r="Q828"/>
      <c r="R828"/>
      <c r="S828"/>
      <c r="T828"/>
      <c r="U828"/>
      <c r="V828"/>
      <c r="W828" s="56"/>
      <c r="X828"/>
      <c r="Y828"/>
      <c r="Z828"/>
      <c r="AA828"/>
      <c r="AB828"/>
      <c r="AC828"/>
      <c r="AD828"/>
      <c r="AE828"/>
      <c r="AF828"/>
      <c r="AG828"/>
      <c r="AH828"/>
      <c r="AI828"/>
      <c r="AJ828"/>
      <c r="AK828"/>
      <c r="AL828"/>
      <c r="AM828"/>
      <c r="AN828"/>
      <c r="AO828"/>
      <c r="AP828"/>
      <c r="AQ828"/>
      <c r="AR828"/>
      <c r="AS828"/>
      <c r="AT828"/>
      <c r="AU828" s="3"/>
      <c r="AV828" s="3"/>
      <c r="AW828" s="3"/>
      <c r="AX828" s="3"/>
      <c r="AY828" s="3"/>
      <c r="AZ828" s="30"/>
      <c r="BA828" s="30"/>
      <c r="BB828" s="14"/>
      <c r="BC828" s="14"/>
    </row>
    <row r="829" spans="1:110" s="4" customFormat="1" ht="12.95" customHeight="1">
      <c r="A829"/>
      <c r="B829"/>
      <c r="C829" s="22" t="s">
        <v>817</v>
      </c>
      <c r="D829"/>
      <c r="E829"/>
      <c r="F829"/>
      <c r="G829"/>
      <c r="H829"/>
      <c r="I829"/>
      <c r="J829"/>
      <c r="K829"/>
      <c r="L829"/>
      <c r="M829"/>
      <c r="N829"/>
      <c r="O829"/>
      <c r="P829"/>
      <c r="Q829"/>
      <c r="R829"/>
      <c r="S829"/>
      <c r="T829"/>
      <c r="U829"/>
      <c r="V829"/>
      <c r="W829" s="56"/>
      <c r="X829"/>
      <c r="Y829"/>
      <c r="Z829"/>
      <c r="AA829"/>
      <c r="AB829"/>
      <c r="AC829"/>
      <c r="AD829"/>
      <c r="AE829"/>
      <c r="AF829"/>
      <c r="AG829"/>
      <c r="AH829"/>
      <c r="AI829"/>
      <c r="AJ829"/>
      <c r="AK829"/>
      <c r="AL829"/>
      <c r="AM829"/>
      <c r="AN829"/>
      <c r="AO829"/>
      <c r="AP829"/>
      <c r="AQ829"/>
      <c r="AR829"/>
      <c r="AS829"/>
      <c r="AT829"/>
      <c r="AU829" s="3"/>
      <c r="AV829" s="3"/>
      <c r="AW829" s="3"/>
      <c r="AX829" s="3"/>
      <c r="AY829" s="3"/>
      <c r="AZ829" s="30"/>
      <c r="BA829" s="30"/>
      <c r="BB829" s="14"/>
      <c r="BC829" s="14"/>
    </row>
    <row r="830" spans="1:110" s="4" customFormat="1" ht="12.95" customHeight="1">
      <c r="A830"/>
      <c r="B830"/>
      <c r="C830" s="28"/>
      <c r="D830"/>
      <c r="E830"/>
      <c r="F830"/>
      <c r="G830"/>
      <c r="H830"/>
      <c r="I830"/>
      <c r="J830"/>
      <c r="K830"/>
      <c r="L830"/>
      <c r="M830"/>
      <c r="N830"/>
      <c r="O830"/>
      <c r="P830"/>
      <c r="Q830"/>
      <c r="R830"/>
      <c r="S830"/>
      <c r="T830"/>
      <c r="U830"/>
      <c r="V830"/>
      <c r="W830" s="56"/>
      <c r="X830"/>
      <c r="Y830"/>
      <c r="Z830"/>
      <c r="AA830"/>
      <c r="AB830"/>
      <c r="AC830"/>
      <c r="AD830"/>
      <c r="AE830"/>
      <c r="AF830"/>
      <c r="AG830"/>
      <c r="AH830"/>
      <c r="AI830"/>
      <c r="AJ830"/>
      <c r="AK830"/>
      <c r="AL830"/>
      <c r="AM830"/>
      <c r="AN830"/>
      <c r="AO830"/>
      <c r="AP830"/>
      <c r="AQ830"/>
      <c r="AR830"/>
      <c r="AS830"/>
      <c r="AT830"/>
      <c r="AU830" s="3"/>
      <c r="AV830" s="3"/>
      <c r="AW830" s="3"/>
      <c r="AX830" s="3"/>
      <c r="AY830" s="3"/>
      <c r="AZ830" s="30"/>
      <c r="BA830" s="30"/>
      <c r="BB830" s="14"/>
      <c r="BC830" s="14"/>
    </row>
    <row r="831" spans="1:110" s="4" customFormat="1" ht="12.95" customHeight="1">
      <c r="A831"/>
      <c r="B831"/>
      <c r="C831" s="41"/>
      <c r="D831" s="42"/>
      <c r="E831" s="42"/>
      <c r="F831" s="42"/>
      <c r="G831" s="42"/>
      <c r="H831" s="42"/>
      <c r="I831" s="42"/>
      <c r="J831" s="42"/>
      <c r="K831" s="42"/>
      <c r="L831" s="58"/>
      <c r="M831" s="1630" t="s">
        <v>126</v>
      </c>
      <c r="N831" s="1630"/>
      <c r="O831" s="1630"/>
      <c r="P831" s="1631"/>
      <c r="Q831" s="1529" t="s">
        <v>290</v>
      </c>
      <c r="R831" s="1529"/>
      <c r="S831" s="1529"/>
      <c r="T831" s="1529"/>
      <c r="U831" s="1529" t="s">
        <v>291</v>
      </c>
      <c r="V831" s="1529"/>
      <c r="W831" s="1529"/>
      <c r="X831" s="1529"/>
      <c r="Y831" s="1529" t="s">
        <v>292</v>
      </c>
      <c r="Z831" s="1529"/>
      <c r="AA831" s="1529"/>
      <c r="AB831" s="1529"/>
      <c r="AC831" s="1529" t="s">
        <v>361</v>
      </c>
      <c r="AD831" s="1529"/>
      <c r="AE831" s="1529"/>
      <c r="AF831" s="1529"/>
      <c r="AG831" s="1546" t="s">
        <v>335</v>
      </c>
      <c r="AH831" s="1546"/>
      <c r="AI831" s="1546"/>
      <c r="AJ831" s="1546"/>
      <c r="AK831"/>
      <c r="AL831" s="3"/>
      <c r="AM831" s="3"/>
      <c r="AN831" s="3"/>
      <c r="AO831" s="3"/>
      <c r="AP831" s="3"/>
      <c r="AQ831" s="3"/>
      <c r="AR831" s="3"/>
      <c r="AS831" s="3"/>
      <c r="AT831" s="3"/>
      <c r="AU831" s="3"/>
      <c r="AV831" s="3"/>
      <c r="AW831" s="3"/>
      <c r="AX831" s="3"/>
      <c r="AY831" s="3"/>
      <c r="AZ831" s="30"/>
      <c r="BA831" s="30"/>
      <c r="BB831" s="14"/>
      <c r="BC831" s="14"/>
    </row>
    <row r="832" spans="1:110" s="14" customFormat="1" ht="12.95" customHeight="1">
      <c r="A832"/>
      <c r="B832"/>
      <c r="C832" s="47"/>
      <c r="D832" s="48"/>
      <c r="E832" s="48"/>
      <c r="F832" s="48"/>
      <c r="G832" s="48"/>
      <c r="H832" s="48"/>
      <c r="I832" s="48"/>
      <c r="J832" s="48"/>
      <c r="K832" s="48"/>
      <c r="L832" s="49"/>
      <c r="M832" s="1632"/>
      <c r="N832" s="1632"/>
      <c r="O832" s="1632"/>
      <c r="P832" s="1633"/>
      <c r="Q832" s="1529"/>
      <c r="R832" s="1529"/>
      <c r="S832" s="1529"/>
      <c r="T832" s="1529"/>
      <c r="U832" s="1529"/>
      <c r="V832" s="1529"/>
      <c r="W832" s="1529"/>
      <c r="X832" s="1529"/>
      <c r="Y832" s="1529"/>
      <c r="Z832" s="1529"/>
      <c r="AA832" s="1529"/>
      <c r="AB832" s="1529"/>
      <c r="AC832" s="1529"/>
      <c r="AD832" s="1529"/>
      <c r="AE832" s="1529"/>
      <c r="AF832" s="1529"/>
      <c r="AG832" s="1546"/>
      <c r="AH832" s="1546"/>
      <c r="AI832" s="1546"/>
      <c r="AJ832" s="1546"/>
      <c r="AK832"/>
      <c r="AL832" s="3"/>
      <c r="AM832" s="3"/>
      <c r="AN832" s="3"/>
      <c r="AO832" s="3"/>
      <c r="AP832" s="3"/>
      <c r="AQ832" s="3"/>
      <c r="AR832" s="3"/>
      <c r="AS832" s="3"/>
      <c r="AT832" s="3"/>
      <c r="AU832"/>
      <c r="AV832" s="3"/>
      <c r="AW832" s="3"/>
      <c r="AX832" s="3"/>
      <c r="AY832" s="3"/>
      <c r="AZ832" s="30"/>
      <c r="BA832" s="30"/>
    </row>
    <row r="833" spans="1:53" s="14" customFormat="1" ht="12.95" customHeight="1">
      <c r="A833"/>
      <c r="B833"/>
      <c r="C833" s="1530" t="s">
        <v>40</v>
      </c>
      <c r="D833" s="1314"/>
      <c r="E833" s="1314"/>
      <c r="F833" s="1314"/>
      <c r="G833" s="1314"/>
      <c r="H833" s="1314"/>
      <c r="I833" s="48"/>
      <c r="J833" s="48"/>
      <c r="K833" s="48"/>
      <c r="L833" s="49"/>
      <c r="M833" s="1528"/>
      <c r="N833" s="1528"/>
      <c r="O833" s="1528"/>
      <c r="P833" s="1528"/>
      <c r="Q833" s="1528"/>
      <c r="R833" s="1528"/>
      <c r="S833" s="1528"/>
      <c r="T833" s="1528"/>
      <c r="U833" s="1528"/>
      <c r="V833" s="1528"/>
      <c r="W833" s="1528"/>
      <c r="X833" s="1528"/>
      <c r="Y833" s="1528"/>
      <c r="Z833" s="1528"/>
      <c r="AA833" s="1528"/>
      <c r="AB833" s="1528"/>
      <c r="AC833" s="1514"/>
      <c r="AD833" s="1515"/>
      <c r="AE833" s="1515"/>
      <c r="AF833" s="1516"/>
      <c r="AG833" s="1514"/>
      <c r="AH833" s="1515"/>
      <c r="AI833" s="1515"/>
      <c r="AJ833" s="1516"/>
      <c r="AK833"/>
      <c r="AL833" s="3"/>
      <c r="AM833" s="3"/>
      <c r="AN833" s="3"/>
      <c r="AO833" s="3"/>
      <c r="AP833" s="3"/>
      <c r="AQ833" s="3"/>
      <c r="AR833" s="3"/>
      <c r="AS833" s="3"/>
      <c r="AT833" s="3"/>
      <c r="AU833"/>
      <c r="AV833" s="3"/>
      <c r="AW833" s="3"/>
      <c r="AX833" s="3"/>
      <c r="AY833" s="3"/>
      <c r="AZ833" s="30"/>
      <c r="BA833" s="30"/>
    </row>
    <row r="834" spans="1:53" s="14" customFormat="1" ht="12.95" customHeight="1">
      <c r="A834"/>
      <c r="B834"/>
      <c r="C834" s="1335" t="s">
        <v>41</v>
      </c>
      <c r="D834" s="1336"/>
      <c r="E834" s="1336"/>
      <c r="F834" s="1336"/>
      <c r="G834" s="1336"/>
      <c r="H834" s="1336"/>
      <c r="I834" s="5"/>
      <c r="J834" s="5"/>
      <c r="K834" s="5"/>
      <c r="L834" s="46"/>
      <c r="M834" s="1528"/>
      <c r="N834" s="1528"/>
      <c r="O834" s="1528"/>
      <c r="P834" s="1528"/>
      <c r="Q834" s="1528"/>
      <c r="R834" s="1528"/>
      <c r="S834" s="1528"/>
      <c r="T834" s="1528"/>
      <c r="U834" s="1528"/>
      <c r="V834" s="1528"/>
      <c r="W834" s="1528"/>
      <c r="X834" s="1528"/>
      <c r="Y834" s="1528"/>
      <c r="Z834" s="1528"/>
      <c r="AA834" s="1528"/>
      <c r="AB834" s="1528"/>
      <c r="AC834" s="1514"/>
      <c r="AD834" s="1515"/>
      <c r="AE834" s="1515"/>
      <c r="AF834" s="1516"/>
      <c r="AG834" s="1514"/>
      <c r="AH834" s="1515"/>
      <c r="AI834" s="1515"/>
      <c r="AJ834" s="1516"/>
      <c r="AK834"/>
      <c r="AL834" s="3"/>
      <c r="AM834" s="3"/>
      <c r="AN834" s="3"/>
      <c r="AO834" s="3"/>
      <c r="AP834" s="3"/>
      <c r="AQ834" s="3"/>
      <c r="AR834" s="3"/>
      <c r="AS834" s="3"/>
      <c r="AT834" s="3"/>
      <c r="AU834"/>
      <c r="AV834" s="3"/>
      <c r="AW834" s="3"/>
      <c r="AX834" s="3"/>
      <c r="AY834" s="3"/>
      <c r="AZ834" s="30"/>
      <c r="BA834" s="30"/>
    </row>
    <row r="835" spans="1:53" s="14" customFormat="1" ht="12.95" customHeight="1">
      <c r="A835"/>
      <c r="B835"/>
      <c r="C835" s="1335" t="s">
        <v>42</v>
      </c>
      <c r="D835" s="1336"/>
      <c r="E835" s="1336"/>
      <c r="F835" s="1336"/>
      <c r="G835" s="1336"/>
      <c r="H835" s="1336"/>
      <c r="I835" s="60"/>
      <c r="J835" s="60"/>
      <c r="K835" s="60"/>
      <c r="L835" s="61"/>
      <c r="M835" s="1528"/>
      <c r="N835" s="1528"/>
      <c r="O835" s="1528"/>
      <c r="P835" s="1528"/>
      <c r="Q835" s="1528"/>
      <c r="R835" s="1528"/>
      <c r="S835" s="1528"/>
      <c r="T835" s="1528"/>
      <c r="U835" s="1528"/>
      <c r="V835" s="1528"/>
      <c r="W835" s="1528"/>
      <c r="X835" s="1528"/>
      <c r="Y835" s="1528"/>
      <c r="Z835" s="1528"/>
      <c r="AA835" s="1528"/>
      <c r="AB835" s="1528"/>
      <c r="AC835" s="1514"/>
      <c r="AD835" s="1515"/>
      <c r="AE835" s="1515"/>
      <c r="AF835" s="1516"/>
      <c r="AG835" s="1514"/>
      <c r="AH835" s="1515"/>
      <c r="AI835" s="1515"/>
      <c r="AJ835" s="1516"/>
      <c r="AK835"/>
      <c r="AL835" s="3"/>
      <c r="AM835" s="3"/>
      <c r="AN835" s="3"/>
      <c r="AO835" s="3"/>
      <c r="AP835" s="3"/>
      <c r="AQ835" s="3"/>
      <c r="AR835" s="3"/>
      <c r="AS835" s="3"/>
      <c r="AT835" s="3"/>
      <c r="AU835"/>
      <c r="AV835" s="3"/>
      <c r="AW835" s="3"/>
      <c r="AX835" s="3"/>
      <c r="AY835" s="3"/>
      <c r="AZ835" s="30"/>
      <c r="BA835" s="30"/>
    </row>
    <row r="836" spans="1:53" s="14" customFormat="1" ht="12.95" customHeight="1">
      <c r="A836"/>
      <c r="B836"/>
      <c r="C836" s="1335" t="s">
        <v>762</v>
      </c>
      <c r="D836" s="1336"/>
      <c r="E836" s="1336"/>
      <c r="F836" s="1336"/>
      <c r="G836" s="1336"/>
      <c r="H836" s="1336"/>
      <c r="I836" s="60"/>
      <c r="J836" s="60"/>
      <c r="K836" s="60"/>
      <c r="L836" s="61"/>
      <c r="M836" s="1528"/>
      <c r="N836" s="1528"/>
      <c r="O836" s="1528"/>
      <c r="P836" s="1528"/>
      <c r="Q836" s="1528"/>
      <c r="R836" s="1528"/>
      <c r="S836" s="1528"/>
      <c r="T836" s="1528"/>
      <c r="U836" s="1528"/>
      <c r="V836" s="1528"/>
      <c r="W836" s="1528"/>
      <c r="X836" s="1528"/>
      <c r="Y836" s="1528"/>
      <c r="Z836" s="1528"/>
      <c r="AA836" s="1528"/>
      <c r="AB836" s="1528"/>
      <c r="AC836" s="1514"/>
      <c r="AD836" s="1515"/>
      <c r="AE836" s="1515"/>
      <c r="AF836" s="1516"/>
      <c r="AG836" s="1514"/>
      <c r="AH836" s="1515"/>
      <c r="AI836" s="1515"/>
      <c r="AJ836" s="1516"/>
      <c r="AK836"/>
      <c r="AL836" s="3"/>
      <c r="AM836" s="3"/>
      <c r="AN836" s="3"/>
      <c r="AO836" s="3"/>
      <c r="AP836" s="3"/>
      <c r="AQ836" s="3"/>
      <c r="AR836" s="3"/>
      <c r="AS836" s="3"/>
      <c r="AT836" s="3"/>
      <c r="AU836"/>
      <c r="AV836" s="3"/>
      <c r="AW836" s="3"/>
      <c r="AX836" s="3"/>
      <c r="AY836" s="3"/>
      <c r="AZ836" s="30"/>
      <c r="BA836" s="30"/>
    </row>
    <row r="837" spans="1:53" s="14" customFormat="1" ht="12.95" customHeight="1">
      <c r="A837"/>
      <c r="B837"/>
      <c r="C837" s="1335" t="s">
        <v>459</v>
      </c>
      <c r="D837" s="1336"/>
      <c r="E837" s="1336"/>
      <c r="F837" s="1336"/>
      <c r="G837" s="1336"/>
      <c r="H837" s="1336"/>
      <c r="I837" s="60"/>
      <c r="J837" s="60"/>
      <c r="K837" s="60"/>
      <c r="L837" s="61"/>
      <c r="M837" s="1528"/>
      <c r="N837" s="1528"/>
      <c r="O837" s="1528"/>
      <c r="P837" s="1528"/>
      <c r="Q837" s="1528"/>
      <c r="R837" s="1528"/>
      <c r="S837" s="1528"/>
      <c r="T837" s="1528"/>
      <c r="U837" s="1528"/>
      <c r="V837" s="1528"/>
      <c r="W837" s="1528"/>
      <c r="X837" s="1528"/>
      <c r="Y837" s="1528"/>
      <c r="Z837" s="1528"/>
      <c r="AA837" s="1528"/>
      <c r="AB837" s="1528"/>
      <c r="AC837" s="1514"/>
      <c r="AD837" s="1515"/>
      <c r="AE837" s="1515"/>
      <c r="AF837" s="1516"/>
      <c r="AG837" s="1514"/>
      <c r="AH837" s="1515"/>
      <c r="AI837" s="1515"/>
      <c r="AJ837" s="1516"/>
      <c r="AK837"/>
      <c r="AL837" s="3"/>
      <c r="AM837" s="3"/>
      <c r="AN837" s="3"/>
      <c r="AO837" s="3"/>
      <c r="AP837" s="3"/>
      <c r="AQ837" s="3"/>
      <c r="AR837" s="3"/>
      <c r="AS837" s="3"/>
      <c r="AT837" s="3"/>
      <c r="AU837"/>
      <c r="AV837" s="3"/>
      <c r="AW837" s="3"/>
      <c r="AX837" s="3"/>
      <c r="AY837" s="3"/>
      <c r="AZ837" s="30"/>
      <c r="BA837" s="30"/>
    </row>
    <row r="838" spans="1:53" s="14" customFormat="1" ht="12.95" customHeight="1">
      <c r="A838"/>
      <c r="B838"/>
      <c r="C838" s="1619" t="s">
        <v>783</v>
      </c>
      <c r="D838" s="1336"/>
      <c r="E838" s="1336"/>
      <c r="F838" s="1336"/>
      <c r="G838" s="1336"/>
      <c r="H838" s="1336"/>
      <c r="I838" s="60"/>
      <c r="J838" s="60"/>
      <c r="K838" s="60"/>
      <c r="L838" s="61"/>
      <c r="M838" s="1528"/>
      <c r="N838" s="1528"/>
      <c r="O838" s="1528"/>
      <c r="P838" s="1528"/>
      <c r="Q838" s="1528"/>
      <c r="R838" s="1528"/>
      <c r="S838" s="1528"/>
      <c r="T838" s="1528"/>
      <c r="U838" s="1528"/>
      <c r="V838" s="1528"/>
      <c r="W838" s="1528"/>
      <c r="X838" s="1528"/>
      <c r="Y838" s="1528"/>
      <c r="Z838" s="1528"/>
      <c r="AA838" s="1528"/>
      <c r="AB838" s="1528"/>
      <c r="AC838" s="1514"/>
      <c r="AD838" s="1515"/>
      <c r="AE838" s="1515"/>
      <c r="AF838" s="1516"/>
      <c r="AG838" s="1514"/>
      <c r="AH838" s="1515"/>
      <c r="AI838" s="1515"/>
      <c r="AJ838" s="1516"/>
      <c r="AK838"/>
      <c r="AL838" s="3"/>
      <c r="AM838" s="3"/>
      <c r="AN838" s="3"/>
      <c r="AO838" s="3"/>
      <c r="AP838" s="3"/>
      <c r="AQ838" s="3"/>
      <c r="AR838" s="3"/>
      <c r="AS838" s="3"/>
      <c r="AT838" s="3"/>
      <c r="AU838"/>
      <c r="AV838" s="3"/>
      <c r="AW838" s="3"/>
      <c r="AX838" s="3"/>
      <c r="AY838" s="3"/>
      <c r="AZ838" s="30"/>
      <c r="BA838" s="30"/>
    </row>
    <row r="839" spans="1:53" s="14" customFormat="1" ht="12.95" customHeight="1">
      <c r="A839"/>
      <c r="B839"/>
      <c r="C839" s="59" t="s">
        <v>293</v>
      </c>
      <c r="D839" s="60"/>
      <c r="E839" s="60"/>
      <c r="F839" s="1541" t="s">
        <v>2748</v>
      </c>
      <c r="G839" s="1542"/>
      <c r="H839" s="1542"/>
      <c r="I839" s="1542"/>
      <c r="J839" s="1542"/>
      <c r="K839" s="1542"/>
      <c r="L839" s="1542"/>
      <c r="M839" s="1528">
        <v>13</v>
      </c>
      <c r="N839" s="1528"/>
      <c r="O839" s="1528"/>
      <c r="P839" s="1528"/>
      <c r="Q839" s="1528">
        <v>13</v>
      </c>
      <c r="R839" s="1528"/>
      <c r="S839" s="1528"/>
      <c r="T839" s="1528"/>
      <c r="U839" s="1528">
        <v>13</v>
      </c>
      <c r="V839" s="1528"/>
      <c r="W839" s="1528"/>
      <c r="X839" s="1528"/>
      <c r="Y839" s="1528"/>
      <c r="Z839" s="1528"/>
      <c r="AA839" s="1528"/>
      <c r="AB839" s="1528"/>
      <c r="AC839" s="1514"/>
      <c r="AD839" s="1515"/>
      <c r="AE839" s="1515"/>
      <c r="AF839" s="1516"/>
      <c r="AG839" s="1514"/>
      <c r="AH839" s="1515"/>
      <c r="AI839" s="1515"/>
      <c r="AJ839" s="1516"/>
      <c r="AK839"/>
      <c r="AL839" s="3"/>
      <c r="AM839" s="3"/>
      <c r="AN839" s="3"/>
      <c r="AO839" s="3"/>
      <c r="AP839" s="3"/>
      <c r="AQ839" s="3"/>
      <c r="AR839" s="3"/>
      <c r="AS839" s="3"/>
      <c r="AT839" s="3"/>
      <c r="AU839"/>
      <c r="AV839" s="3"/>
      <c r="AW839" s="3"/>
      <c r="AX839" s="3"/>
      <c r="AY839" s="3"/>
      <c r="AZ839" s="30"/>
      <c r="BA839" s="30"/>
    </row>
    <row r="840" spans="1:53" s="14" customFormat="1" ht="12.95" customHeight="1">
      <c r="A840"/>
      <c r="B840"/>
      <c r="C840" s="1360" t="s">
        <v>124</v>
      </c>
      <c r="D840" s="1361"/>
      <c r="E840" s="1361"/>
      <c r="F840" s="1361"/>
      <c r="G840" s="1361"/>
      <c r="H840" s="1361"/>
      <c r="I840" s="1361"/>
      <c r="J840" s="1361"/>
      <c r="K840" s="1361"/>
      <c r="L840" s="1363"/>
      <c r="M840" s="1618">
        <f>SUM(M833:P839)</f>
        <v>13</v>
      </c>
      <c r="N840" s="1618"/>
      <c r="O840" s="1618"/>
      <c r="P840" s="1618"/>
      <c r="Q840" s="1618">
        <f>SUM(Q833:T839)</f>
        <v>13</v>
      </c>
      <c r="R840" s="1618"/>
      <c r="S840" s="1618"/>
      <c r="T840" s="1618"/>
      <c r="U840" s="1618">
        <f>SUM(U833:X839)</f>
        <v>13</v>
      </c>
      <c r="V840" s="1618"/>
      <c r="W840" s="1618"/>
      <c r="X840" s="1618"/>
      <c r="Y840" s="1618">
        <f>SUM(Y833:AB839)</f>
        <v>0</v>
      </c>
      <c r="Z840" s="1618"/>
      <c r="AA840" s="1618"/>
      <c r="AB840" s="1618"/>
      <c r="AC840" s="1618">
        <f>SUM(AC833:AF839)</f>
        <v>0</v>
      </c>
      <c r="AD840" s="1618"/>
      <c r="AE840" s="1618"/>
      <c r="AF840" s="1618"/>
      <c r="AG840" s="1618">
        <f>SUM(AG833:AJ839)</f>
        <v>0</v>
      </c>
      <c r="AH840" s="1618"/>
      <c r="AI840" s="1618"/>
      <c r="AJ840" s="1618"/>
      <c r="AK840"/>
      <c r="AL840" s="3"/>
      <c r="AM840" s="3"/>
      <c r="AN840" s="3"/>
      <c r="AO840" s="3"/>
      <c r="AP840" s="3"/>
      <c r="AQ840" s="3"/>
      <c r="AR840" s="3"/>
      <c r="AS840" s="3"/>
      <c r="AT840" s="3"/>
      <c r="AU840"/>
      <c r="AV840" s="3"/>
      <c r="AW840" s="3"/>
      <c r="AX840" s="3"/>
      <c r="AY840" s="3"/>
      <c r="AZ840" s="30"/>
      <c r="BA840" s="30"/>
    </row>
    <row r="841" spans="1:53" s="14" customFormat="1" ht="12.95" customHeight="1">
      <c r="A841"/>
      <c r="B841"/>
      <c r="C841" s="57" t="s">
        <v>784</v>
      </c>
      <c r="D841" s="56"/>
      <c r="E841" s="56"/>
      <c r="F841" s="56"/>
      <c r="G841" s="56"/>
      <c r="H841" s="56"/>
      <c r="I841" s="56"/>
      <c r="J841" s="56"/>
      <c r="K841" s="56"/>
      <c r="L841" s="56"/>
      <c r="M841" s="179"/>
      <c r="N841" s="179"/>
      <c r="O841" s="179"/>
      <c r="P841" s="179"/>
      <c r="Q841" s="179"/>
      <c r="R841" s="179"/>
      <c r="S841" s="179"/>
      <c r="T841" s="179"/>
      <c r="U841" s="179"/>
      <c r="V841" s="179"/>
      <c r="W841" s="179"/>
      <c r="X841" s="179"/>
      <c r="Y841" s="179"/>
      <c r="Z841" s="179"/>
      <c r="AA841" s="179"/>
      <c r="AB841" s="179"/>
      <c r="AC841" s="179"/>
      <c r="AD841" s="179"/>
      <c r="AE841" s="179"/>
      <c r="AF841" s="179"/>
      <c r="AG841" s="179"/>
      <c r="AH841" s="179"/>
      <c r="AI841" s="179"/>
      <c r="AJ841" s="179"/>
      <c r="AK841"/>
      <c r="AL841" s="3"/>
      <c r="AM841" s="3"/>
      <c r="AN841" s="3"/>
      <c r="AO841" s="3"/>
      <c r="AP841" s="3"/>
      <c r="AQ841" s="3"/>
      <c r="AR841" s="3"/>
      <c r="AS841" s="3"/>
      <c r="AT841" s="3"/>
      <c r="AU841"/>
      <c r="AV841" s="3"/>
      <c r="AW841" s="3"/>
      <c r="AX841" s="3"/>
      <c r="AY841" s="3"/>
      <c r="AZ841" s="30"/>
      <c r="BA841" s="30"/>
    </row>
    <row r="842" spans="1:53" s="14" customFormat="1" ht="12.95" customHeight="1">
      <c r="A842"/>
      <c r="B842"/>
      <c r="C842" s="57" t="s">
        <v>785</v>
      </c>
      <c r="D842" s="56"/>
      <c r="E842" s="56"/>
      <c r="F842" s="56"/>
      <c r="G842" s="56"/>
      <c r="H842" s="56"/>
      <c r="I842" s="56"/>
      <c r="J842" s="56"/>
      <c r="K842" s="56"/>
      <c r="L842" s="56"/>
      <c r="M842" s="179"/>
      <c r="N842" s="179"/>
      <c r="O842" s="179"/>
      <c r="P842" s="179"/>
      <c r="Q842" s="179"/>
      <c r="R842" s="179"/>
      <c r="S842" s="179"/>
      <c r="T842" s="179"/>
      <c r="U842" s="179"/>
      <c r="V842" s="179"/>
      <c r="W842" s="179"/>
      <c r="X842" s="179"/>
      <c r="Y842" s="179"/>
      <c r="Z842" s="179"/>
      <c r="AA842" s="179"/>
      <c r="AB842" s="179"/>
      <c r="AC842" s="179"/>
      <c r="AD842" s="179"/>
      <c r="AE842" s="179"/>
      <c r="AF842" s="179"/>
      <c r="AG842" s="179"/>
      <c r="AH842" s="179"/>
      <c r="AI842" s="179"/>
      <c r="AJ842" s="179"/>
      <c r="AK842"/>
      <c r="AL842" s="3"/>
      <c r="AM842" s="3"/>
      <c r="AN842" s="3"/>
      <c r="AO842" s="3"/>
      <c r="AP842" s="3"/>
      <c r="AQ842" s="3"/>
      <c r="AR842" s="3"/>
      <c r="AS842" s="3"/>
      <c r="AT842" s="3"/>
      <c r="AU842"/>
      <c r="AV842"/>
      <c r="AW842"/>
      <c r="AX842"/>
      <c r="AY842"/>
      <c r="AZ842" s="30"/>
      <c r="BA842" s="30"/>
    </row>
    <row r="843" spans="1:53" s="14" customFormat="1" ht="12.95" customHeight="1">
      <c r="A843"/>
      <c r="B843"/>
      <c r="C843" s="56"/>
      <c r="D843" s="56"/>
      <c r="E843" s="56"/>
      <c r="F843" s="56"/>
      <c r="G843" s="56"/>
      <c r="H843" s="56"/>
      <c r="I843" s="56"/>
      <c r="J843" s="56"/>
      <c r="K843" s="56"/>
      <c r="L843" s="56"/>
      <c r="M843" s="179"/>
      <c r="N843" s="179"/>
      <c r="O843" s="179"/>
      <c r="P843" s="179"/>
      <c r="Q843" s="179"/>
      <c r="R843" s="179"/>
      <c r="S843" s="179"/>
      <c r="T843" s="179"/>
      <c r="U843" s="179"/>
      <c r="V843" s="179"/>
      <c r="W843" s="179"/>
      <c r="X843" s="179"/>
      <c r="Y843" s="179"/>
      <c r="Z843" s="179"/>
      <c r="AA843" s="179"/>
      <c r="AB843" s="179"/>
      <c r="AC843" s="179"/>
      <c r="AD843" s="179"/>
      <c r="AE843" s="179"/>
      <c r="AF843" s="179"/>
      <c r="AG843" s="179"/>
      <c r="AH843" s="179"/>
      <c r="AI843" s="179"/>
      <c r="AJ843" s="179"/>
      <c r="AK843"/>
      <c r="AL843" s="3"/>
      <c r="AM843" s="3"/>
      <c r="AN843" s="3"/>
      <c r="AO843" s="3"/>
      <c r="AP843" s="3"/>
      <c r="AQ843" s="3"/>
      <c r="AR843" s="3"/>
      <c r="AS843" s="3"/>
      <c r="AT843" s="3"/>
      <c r="AU843"/>
      <c r="AV843"/>
      <c r="AW843"/>
      <c r="AX843"/>
      <c r="AY843"/>
      <c r="AZ843" s="30"/>
      <c r="BA843" s="30"/>
    </row>
    <row r="844" spans="1:53" s="14" customFormat="1" ht="12.95" customHeight="1">
      <c r="A844"/>
      <c r="B844"/>
      <c r="C844" s="2" t="s">
        <v>79</v>
      </c>
      <c r="D844"/>
      <c r="E844"/>
      <c r="F844"/>
      <c r="G844"/>
      <c r="H844"/>
      <c r="I844"/>
      <c r="J844"/>
      <c r="K844"/>
      <c r="L844"/>
      <c r="M844"/>
      <c r="N844"/>
      <c r="O844"/>
      <c r="P844"/>
      <c r="Q844"/>
      <c r="R844" s="8"/>
      <c r="S844" s="8"/>
      <c r="T844" s="8"/>
      <c r="U844" s="8"/>
      <c r="V844" s="8"/>
      <c r="W844" s="8"/>
      <c r="X844" s="8"/>
      <c r="Y844" s="8"/>
      <c r="Z844" s="8"/>
      <c r="AA844" s="8"/>
      <c r="AB844" s="8"/>
      <c r="AC844" s="8"/>
      <c r="AD844" s="8"/>
      <c r="AE844" s="8"/>
      <c r="AF844" s="8"/>
      <c r="AG844" s="8"/>
      <c r="AH844" s="8"/>
      <c r="AI844" s="8"/>
      <c r="AJ844" s="8"/>
      <c r="AK844"/>
      <c r="AL844" s="3"/>
      <c r="AM844" s="3"/>
      <c r="AN844" s="3"/>
      <c r="AO844" s="3"/>
      <c r="AP844" s="3"/>
      <c r="AQ844" s="3"/>
      <c r="AR844" s="3"/>
      <c r="AS844" s="3"/>
      <c r="AT844" s="3"/>
      <c r="AU844"/>
      <c r="AV844"/>
      <c r="AW844"/>
      <c r="AX844"/>
      <c r="AY844"/>
      <c r="AZ844" s="30"/>
      <c r="BA844" s="30"/>
    </row>
    <row r="845" spans="1:53" s="14" customFormat="1" ht="12.95" customHeight="1">
      <c r="A845"/>
      <c r="B845"/>
      <c r="C845" s="1586" t="s">
        <v>2749</v>
      </c>
      <c r="D845" s="1587"/>
      <c r="E845" s="1587"/>
      <c r="F845" s="1587"/>
      <c r="G845" s="1587"/>
      <c r="H845" s="1587"/>
      <c r="I845" s="1587"/>
      <c r="J845" s="1587"/>
      <c r="K845" s="1587"/>
      <c r="L845" s="1587"/>
      <c r="M845" s="1587"/>
      <c r="N845" s="1587"/>
      <c r="O845" s="1587"/>
      <c r="P845" s="1587"/>
      <c r="Q845" s="1587"/>
      <c r="R845" s="1587"/>
      <c r="S845" s="1587"/>
      <c r="T845" s="1587"/>
      <c r="U845" s="1587"/>
      <c r="V845" s="1587"/>
      <c r="W845" s="1587"/>
      <c r="X845" s="1587"/>
      <c r="Y845" s="1587"/>
      <c r="Z845" s="1587"/>
      <c r="AA845" s="1587"/>
      <c r="AB845" s="1587"/>
      <c r="AC845" s="1587"/>
      <c r="AD845" s="1587"/>
      <c r="AE845" s="1587"/>
      <c r="AF845" s="1587"/>
      <c r="AG845" s="1587"/>
      <c r="AH845" s="1587"/>
      <c r="AI845" s="1587"/>
      <c r="AJ845" s="1588"/>
      <c r="AK845"/>
      <c r="AL845" s="3"/>
      <c r="AM845" s="3"/>
      <c r="AN845" s="3"/>
      <c r="AO845" s="3"/>
      <c r="AP845" s="3"/>
      <c r="AQ845" s="3"/>
      <c r="AR845" s="3"/>
      <c r="AS845" s="3"/>
      <c r="AT845" s="3"/>
      <c r="AU845"/>
      <c r="AV845"/>
      <c r="AW845"/>
      <c r="AX845"/>
      <c r="AY845"/>
      <c r="AZ845" s="30"/>
      <c r="BA845" s="30"/>
    </row>
    <row r="846" spans="1:53" s="14" customFormat="1" ht="12.95" customHeight="1">
      <c r="A846"/>
      <c r="B846" s="4"/>
      <c r="C846" s="3" t="s">
        <v>1157</v>
      </c>
      <c r="D846" s="4"/>
      <c r="E846" s="4"/>
      <c r="F846" s="4"/>
      <c r="G846" s="4"/>
      <c r="H846" s="4"/>
      <c r="I846" s="4"/>
      <c r="J846" s="4"/>
      <c r="K846" s="4"/>
      <c r="L846" s="4"/>
      <c r="M846" s="4"/>
      <c r="N846" s="4"/>
      <c r="O846" s="4"/>
      <c r="P846" s="4"/>
      <c r="Q846" s="4"/>
      <c r="R846" s="4"/>
      <c r="S846" s="4"/>
      <c r="T846" s="4"/>
      <c r="U846" s="4"/>
      <c r="V846" s="4"/>
      <c r="W846" s="4"/>
      <c r="X846" s="4"/>
      <c r="Y846" s="4"/>
      <c r="Z846" s="4"/>
      <c r="AA846" s="4"/>
      <c r="AB846" s="4"/>
      <c r="AC846" s="4"/>
      <c r="AD846" s="4"/>
      <c r="AE846" s="4"/>
      <c r="AF846" s="4"/>
      <c r="AG846" s="4"/>
      <c r="AH846" s="4"/>
      <c r="AI846" s="4"/>
      <c r="AJ846" s="4"/>
      <c r="AK846"/>
      <c r="AL846" s="3"/>
      <c r="AM846" s="3"/>
      <c r="AN846" s="3"/>
      <c r="AO846" s="3"/>
      <c r="AP846" s="3"/>
      <c r="AQ846" s="3"/>
      <c r="AR846" s="3"/>
      <c r="AS846" s="3"/>
      <c r="AT846" s="3"/>
      <c r="AU846"/>
      <c r="AV846"/>
      <c r="AW846"/>
      <c r="AX846"/>
      <c r="AY846"/>
    </row>
    <row r="847" spans="1:53" s="14" customFormat="1" ht="12.95" customHeight="1">
      <c r="A847"/>
      <c r="B847"/>
      <c r="C847" s="2"/>
      <c r="D847"/>
      <c r="E847"/>
      <c r="F847"/>
      <c r="G847"/>
      <c r="H847"/>
      <c r="I847"/>
      <c r="J847"/>
      <c r="K847"/>
      <c r="L847"/>
      <c r="M847"/>
      <c r="N847"/>
      <c r="O847"/>
      <c r="P847"/>
      <c r="Q847"/>
      <c r="R847"/>
      <c r="S847"/>
      <c r="T847"/>
      <c r="U847"/>
      <c r="V847"/>
      <c r="W847"/>
      <c r="X847"/>
      <c r="Y847"/>
      <c r="Z847"/>
      <c r="AA847"/>
      <c r="AB847"/>
      <c r="AC847"/>
      <c r="AD847"/>
      <c r="AE847"/>
      <c r="AF847"/>
      <c r="AG847"/>
      <c r="AH847"/>
      <c r="AI847"/>
      <c r="AJ847"/>
      <c r="AK847"/>
      <c r="AL847"/>
      <c r="AM847"/>
      <c r="AN847"/>
      <c r="AO847"/>
      <c r="AP847"/>
      <c r="AQ847"/>
      <c r="AR847"/>
      <c r="AS847"/>
      <c r="AT847"/>
      <c r="AU847"/>
      <c r="AV847"/>
      <c r="AW847"/>
      <c r="AX847"/>
      <c r="AY847"/>
    </row>
    <row r="848" spans="1:53" s="14" customFormat="1" ht="12.95" customHeight="1">
      <c r="A848" s="2" t="s">
        <v>467</v>
      </c>
      <c r="B848"/>
      <c r="C848" s="2" t="s">
        <v>760</v>
      </c>
      <c r="D848"/>
      <c r="E848"/>
      <c r="F848"/>
      <c r="G848"/>
      <c r="H848"/>
      <c r="I848"/>
      <c r="J848"/>
      <c r="K848"/>
      <c r="L848"/>
      <c r="M848"/>
      <c r="N848"/>
      <c r="O848"/>
      <c r="P848"/>
      <c r="Q848"/>
      <c r="R848"/>
      <c r="S848"/>
      <c r="T848"/>
      <c r="U848"/>
      <c r="V848"/>
      <c r="W848"/>
      <c r="X848"/>
      <c r="Y848"/>
      <c r="Z848"/>
      <c r="AA848"/>
      <c r="AB848"/>
      <c r="AC848"/>
      <c r="AD848"/>
      <c r="AE848"/>
      <c r="AF848"/>
      <c r="AG848"/>
      <c r="AH848"/>
      <c r="AI848"/>
      <c r="AJ848"/>
      <c r="AK848"/>
      <c r="AL848"/>
      <c r="AM848"/>
      <c r="AN848"/>
      <c r="AO848"/>
      <c r="AP848"/>
      <c r="AQ848"/>
      <c r="AR848"/>
      <c r="AS848"/>
      <c r="AT848"/>
      <c r="AU848"/>
      <c r="AV848"/>
      <c r="AW848"/>
      <c r="AX848"/>
      <c r="AY848"/>
    </row>
    <row r="849" spans="1:64" s="14" customFormat="1" ht="12.95" customHeight="1">
      <c r="A849"/>
      <c r="B849"/>
      <c r="C849"/>
      <c r="D849"/>
      <c r="E849"/>
      <c r="F849"/>
      <c r="G849"/>
      <c r="H849"/>
      <c r="I849"/>
      <c r="J849"/>
      <c r="K849"/>
      <c r="L849"/>
      <c r="M849"/>
      <c r="N849"/>
      <c r="O849"/>
      <c r="P849"/>
      <c r="Q849"/>
      <c r="R849"/>
      <c r="S849"/>
      <c r="T849"/>
      <c r="U849"/>
      <c r="V849"/>
      <c r="W849"/>
      <c r="X849"/>
      <c r="Y849"/>
      <c r="Z849"/>
      <c r="AA849"/>
      <c r="AB849"/>
      <c r="AC849"/>
      <c r="AD849"/>
      <c r="AE849"/>
      <c r="AF849"/>
      <c r="AG849"/>
      <c r="AH849"/>
      <c r="AI849"/>
      <c r="AJ849"/>
      <c r="AK849"/>
      <c r="AL849"/>
      <c r="AM849"/>
      <c r="AN849"/>
      <c r="AO849"/>
      <c r="AP849"/>
      <c r="AQ849"/>
      <c r="AR849"/>
      <c r="AS849"/>
      <c r="AT849"/>
      <c r="AU849"/>
      <c r="AV849"/>
      <c r="AW849"/>
      <c r="AX849"/>
      <c r="AY849"/>
      <c r="BI849" s="1578"/>
      <c r="BJ849" s="1578"/>
      <c r="BK849" s="1578"/>
      <c r="BL849" s="1578"/>
    </row>
    <row r="850" spans="1:64" s="14" customFormat="1" ht="12.95" customHeight="1">
      <c r="A850"/>
      <c r="B850"/>
      <c r="C850" s="2" t="s">
        <v>343</v>
      </c>
      <c r="D850"/>
      <c r="E850"/>
      <c r="F850"/>
      <c r="G850"/>
      <c r="H850"/>
      <c r="I850"/>
      <c r="J850" s="45" t="s">
        <v>356</v>
      </c>
      <c r="K850" s="5"/>
      <c r="L850" s="5"/>
      <c r="M850" s="5"/>
      <c r="N850" s="5"/>
      <c r="O850" s="5"/>
      <c r="P850" s="5"/>
      <c r="Q850" s="5"/>
      <c r="R850" s="5"/>
      <c r="S850" s="5"/>
      <c r="T850" s="5"/>
      <c r="U850" s="5"/>
      <c r="V850" s="46"/>
      <c r="W850" s="1567">
        <v>3000</v>
      </c>
      <c r="X850" s="1567"/>
      <c r="Y850" s="1567"/>
      <c r="Z850" s="1567"/>
      <c r="AA850" s="1567"/>
      <c r="AB850" s="1567"/>
      <c r="AC850" s="1567"/>
      <c r="AD850"/>
      <c r="AE850"/>
      <c r="AF850"/>
      <c r="AG850"/>
      <c r="AH850"/>
      <c r="AI850"/>
      <c r="AJ850"/>
      <c r="AK850"/>
      <c r="AL850"/>
      <c r="AM850"/>
      <c r="AN850"/>
      <c r="AO850"/>
      <c r="AP850"/>
      <c r="AQ850"/>
      <c r="AR850"/>
      <c r="AS850"/>
      <c r="AT850"/>
      <c r="AU850"/>
      <c r="AV850"/>
      <c r="AW850"/>
      <c r="AX850"/>
      <c r="AY850"/>
      <c r="AZ850" s="30"/>
      <c r="BA850" s="30"/>
    </row>
    <row r="851" spans="1:64" s="14" customFormat="1" ht="12.95" customHeight="1">
      <c r="A851"/>
      <c r="B851"/>
      <c r="C851"/>
      <c r="D851"/>
      <c r="E851"/>
      <c r="F851"/>
      <c r="G851"/>
      <c r="H851"/>
      <c r="I851"/>
      <c r="J851" s="45" t="s">
        <v>355</v>
      </c>
      <c r="K851" s="5"/>
      <c r="L851" s="5"/>
      <c r="M851" s="5"/>
      <c r="N851" s="5"/>
      <c r="O851" s="5"/>
      <c r="P851" s="5"/>
      <c r="Q851" s="5"/>
      <c r="R851" s="5"/>
      <c r="S851" s="5"/>
      <c r="T851" s="5"/>
      <c r="U851" s="5"/>
      <c r="V851" s="46"/>
      <c r="W851" s="1567">
        <v>3000</v>
      </c>
      <c r="X851" s="1567"/>
      <c r="Y851" s="1567"/>
      <c r="Z851" s="1567"/>
      <c r="AA851" s="1567"/>
      <c r="AB851" s="1567"/>
      <c r="AC851" s="1567"/>
      <c r="AD851"/>
      <c r="AE851"/>
      <c r="AF851"/>
      <c r="AG851"/>
      <c r="AH851"/>
      <c r="AI851"/>
      <c r="AJ851"/>
      <c r="AK851"/>
      <c r="AL851"/>
      <c r="AM851"/>
      <c r="AN851"/>
      <c r="AO851"/>
      <c r="AP851"/>
      <c r="AQ851"/>
      <c r="AR851"/>
      <c r="AS851"/>
      <c r="AT851"/>
      <c r="AU851"/>
      <c r="AV851"/>
      <c r="AW851"/>
      <c r="AX851"/>
      <c r="AY851"/>
      <c r="AZ851" s="30"/>
      <c r="BA851" s="30"/>
    </row>
    <row r="852" spans="1:64" ht="12.95" customHeight="1">
      <c r="J852" s="45" t="s">
        <v>354</v>
      </c>
      <c r="K852" s="5"/>
      <c r="L852" s="5"/>
      <c r="M852" s="5"/>
      <c r="N852" s="5"/>
      <c r="O852" s="5"/>
      <c r="P852" s="5"/>
      <c r="Q852" s="5"/>
      <c r="R852" s="5"/>
      <c r="S852" s="5"/>
      <c r="T852" s="5"/>
      <c r="U852" s="5"/>
      <c r="V852" s="46"/>
      <c r="W852" s="1567">
        <v>4000</v>
      </c>
      <c r="X852" s="1567"/>
      <c r="Y852" s="1567"/>
      <c r="Z852" s="1567"/>
      <c r="AA852" s="1567"/>
      <c r="AB852" s="1567"/>
      <c r="AC852" s="1567"/>
      <c r="AZ852" s="30"/>
      <c r="BA852" s="30"/>
      <c r="BB852" s="14"/>
      <c r="BC852" s="14"/>
      <c r="BD852" s="14"/>
      <c r="BE852" s="14"/>
      <c r="BF852" s="14"/>
      <c r="BG852" s="14"/>
      <c r="BH852" s="14"/>
      <c r="BI852" s="14"/>
      <c r="BJ852" s="14"/>
      <c r="BK852" s="14"/>
      <c r="BL852" s="14"/>
    </row>
    <row r="853" spans="1:64" ht="12.95" customHeight="1">
      <c r="J853" s="45" t="s">
        <v>353</v>
      </c>
      <c r="K853" s="5"/>
      <c r="L853" s="5"/>
      <c r="M853" s="5"/>
      <c r="N853" s="5"/>
      <c r="O853" s="5"/>
      <c r="P853" s="5"/>
      <c r="Q853" s="5"/>
      <c r="R853" s="5"/>
      <c r="S853" s="5"/>
      <c r="T853" s="5"/>
      <c r="U853" s="5"/>
      <c r="V853" s="46"/>
      <c r="W853" s="1567"/>
      <c r="X853" s="1567"/>
      <c r="Y853" s="1567"/>
      <c r="Z853" s="1567"/>
      <c r="AA853" s="1567"/>
      <c r="AB853" s="1567"/>
      <c r="AC853" s="1567"/>
      <c r="AZ853" s="30"/>
      <c r="BA853" s="30"/>
      <c r="BB853" s="14"/>
      <c r="BC853" s="14"/>
      <c r="BD853" s="14"/>
      <c r="BE853" s="14"/>
      <c r="BF853" s="14"/>
      <c r="BG853" s="14"/>
      <c r="BH853" s="14"/>
      <c r="BI853" s="14"/>
      <c r="BJ853" s="14"/>
      <c r="BK853" s="14"/>
      <c r="BL853" s="14"/>
    </row>
    <row r="854" spans="1:64" ht="12.95" customHeight="1">
      <c r="J854" s="45" t="s">
        <v>170</v>
      </c>
      <c r="K854" s="5"/>
      <c r="L854" s="5"/>
      <c r="M854" s="1541" t="s">
        <v>334</v>
      </c>
      <c r="N854" s="1542"/>
      <c r="O854" s="1542"/>
      <c r="P854" s="1542"/>
      <c r="Q854" s="1542"/>
      <c r="R854" s="1542"/>
      <c r="S854" s="1542"/>
      <c r="T854" s="1542"/>
      <c r="U854" s="1542"/>
      <c r="V854" s="1543"/>
      <c r="W854" s="1567"/>
      <c r="X854" s="1567"/>
      <c r="Y854" s="1567"/>
      <c r="Z854" s="1567"/>
      <c r="AA854" s="1567"/>
      <c r="AB854" s="1567"/>
      <c r="AC854" s="1567"/>
      <c r="AZ854" s="30"/>
      <c r="BA854" s="30"/>
      <c r="BB854" s="14"/>
      <c r="BC854" s="14"/>
      <c r="BD854" s="14"/>
      <c r="BE854" s="14"/>
      <c r="BF854" s="14"/>
      <c r="BG854" s="14"/>
      <c r="BH854" s="14"/>
      <c r="BI854" s="14"/>
      <c r="BJ854" s="14"/>
      <c r="BK854" s="14"/>
      <c r="BL854" s="14"/>
    </row>
    <row r="855" spans="1:64" ht="12.95" customHeight="1">
      <c r="J855" s="45"/>
      <c r="K855" s="5"/>
      <c r="L855" s="5"/>
      <c r="M855" s="5"/>
      <c r="N855" s="5"/>
      <c r="O855" s="5"/>
      <c r="P855" s="5"/>
      <c r="Q855" s="5"/>
      <c r="R855" s="5"/>
      <c r="S855" s="5"/>
      <c r="T855" s="5"/>
      <c r="U855" s="5"/>
      <c r="V855" s="54" t="s">
        <v>342</v>
      </c>
      <c r="W855" s="1417">
        <f>SUM(W850:W854)</f>
        <v>10000</v>
      </c>
      <c r="X855" s="1418"/>
      <c r="Y855" s="1418"/>
      <c r="Z855" s="1418"/>
      <c r="AA855" s="1418"/>
      <c r="AB855" s="1418"/>
      <c r="AC855" s="1419"/>
      <c r="AZ855" s="30"/>
      <c r="BA855" s="30"/>
      <c r="BB855" s="14"/>
      <c r="BC855" s="14"/>
      <c r="BD855" s="14"/>
      <c r="BE855" s="14"/>
      <c r="BF855" s="14"/>
      <c r="BG855" s="14"/>
      <c r="BH855" s="14"/>
      <c r="BI855" s="14"/>
      <c r="BJ855" s="14"/>
      <c r="BK855" s="14"/>
      <c r="BL855" s="14"/>
    </row>
    <row r="856" spans="1:64" ht="12.95" customHeight="1">
      <c r="AZ856" s="30"/>
      <c r="BA856" s="30"/>
      <c r="BB856" s="14"/>
      <c r="BC856" s="14"/>
      <c r="BD856" s="14"/>
      <c r="BE856" s="14"/>
      <c r="BF856" s="14"/>
      <c r="BG856" s="1577"/>
      <c r="BH856" s="1577"/>
      <c r="BI856" s="1577"/>
      <c r="BJ856" s="1577"/>
      <c r="BK856" s="1577"/>
      <c r="BL856" s="1577"/>
    </row>
    <row r="857" spans="1:64" ht="12.95" customHeight="1">
      <c r="C857" s="2" t="s">
        <v>344</v>
      </c>
      <c r="J857" s="1360" t="s">
        <v>345</v>
      </c>
      <c r="K857" s="1361"/>
      <c r="L857" s="1361"/>
      <c r="M857" s="1361"/>
      <c r="N857" s="1361"/>
      <c r="O857" s="1361"/>
      <c r="P857" s="1361"/>
      <c r="Q857" s="1361"/>
      <c r="R857" s="1361"/>
      <c r="S857" s="1361"/>
      <c r="T857" s="1361"/>
      <c r="U857" s="1361"/>
      <c r="V857" s="1363"/>
      <c r="W857" s="1420">
        <v>56737</v>
      </c>
      <c r="X857" s="1272"/>
      <c r="Y857" s="1272"/>
      <c r="Z857" s="1272"/>
      <c r="AA857" s="1272"/>
      <c r="AB857" s="1272"/>
      <c r="AC857" s="1273"/>
      <c r="AD857" s="533"/>
      <c r="AZ857" s="30"/>
      <c r="BA857" s="30"/>
      <c r="BB857" s="14"/>
      <c r="BC857" s="14"/>
    </row>
    <row r="858" spans="1:64" ht="12.95" customHeight="1">
      <c r="AD858" s="533"/>
      <c r="AZ858" s="30"/>
      <c r="BA858" s="30"/>
      <c r="BB858" s="14"/>
      <c r="BC858" s="14"/>
    </row>
    <row r="859" spans="1:64" ht="12.95" customHeight="1">
      <c r="C859" s="2" t="s">
        <v>561</v>
      </c>
      <c r="J859" s="45" t="s">
        <v>352</v>
      </c>
      <c r="K859" s="5"/>
      <c r="L859" s="5"/>
      <c r="M859" s="5"/>
      <c r="N859" s="5"/>
      <c r="O859" s="5"/>
      <c r="P859" s="5"/>
      <c r="Q859" s="5"/>
      <c r="R859" s="5"/>
      <c r="S859" s="5"/>
      <c r="T859" s="5"/>
      <c r="U859" s="5"/>
      <c r="V859" s="46"/>
      <c r="W859" s="1584"/>
      <c r="X859" s="1584"/>
      <c r="Y859" s="1584"/>
      <c r="Z859" s="1584"/>
      <c r="AA859" s="1584"/>
      <c r="AB859" s="1584"/>
      <c r="AC859" s="1584"/>
      <c r="AZ859" s="1563"/>
      <c r="BA859" s="1563"/>
      <c r="BB859" s="14"/>
      <c r="BC859" s="14"/>
    </row>
    <row r="860" spans="1:64" ht="12.95" customHeight="1">
      <c r="J860" s="45" t="s">
        <v>351</v>
      </c>
      <c r="K860" s="5"/>
      <c r="L860" s="5"/>
      <c r="M860" s="5"/>
      <c r="N860" s="5"/>
      <c r="O860" s="5"/>
      <c r="P860" s="5"/>
      <c r="Q860" s="5"/>
      <c r="R860" s="5"/>
      <c r="S860" s="5"/>
      <c r="T860" s="5"/>
      <c r="U860" s="5"/>
      <c r="V860" s="46"/>
      <c r="W860" s="1584"/>
      <c r="X860" s="1584"/>
      <c r="Y860" s="1584"/>
      <c r="Z860" s="1584"/>
      <c r="AA860" s="1584"/>
      <c r="AB860" s="1584"/>
      <c r="AC860" s="1584"/>
      <c r="AZ860" s="30"/>
      <c r="BA860" s="30"/>
      <c r="BB860" s="14"/>
      <c r="BC860" s="14"/>
    </row>
    <row r="861" spans="1:64" ht="12.95" customHeight="1">
      <c r="J861" s="45" t="s">
        <v>459</v>
      </c>
      <c r="K861" s="5"/>
      <c r="L861" s="5"/>
      <c r="M861" s="5"/>
      <c r="N861" s="5"/>
      <c r="O861" s="5"/>
      <c r="P861" s="5"/>
      <c r="Q861" s="5"/>
      <c r="R861" s="5"/>
      <c r="S861" s="5"/>
      <c r="T861" s="5"/>
      <c r="U861" s="5"/>
      <c r="V861" s="46"/>
      <c r="W861" s="1584">
        <v>20000</v>
      </c>
      <c r="X861" s="1584"/>
      <c r="Y861" s="1584"/>
      <c r="Z861" s="1584"/>
      <c r="AA861" s="1584"/>
      <c r="AB861" s="1584"/>
      <c r="AC861" s="1584"/>
      <c r="AZ861" s="30"/>
      <c r="BA861" s="30"/>
      <c r="BB861" s="14"/>
      <c r="BC861" s="14"/>
    </row>
    <row r="862" spans="1:64" ht="12.95" customHeight="1">
      <c r="J862" s="62" t="s">
        <v>620</v>
      </c>
      <c r="K862" s="5"/>
      <c r="L862" s="5"/>
      <c r="M862" s="5"/>
      <c r="N862" s="5"/>
      <c r="O862" s="5"/>
      <c r="P862" s="5"/>
      <c r="Q862" s="5"/>
      <c r="R862" s="5"/>
      <c r="S862" s="5"/>
      <c r="T862" s="5"/>
      <c r="U862" s="5"/>
      <c r="V862" s="46"/>
      <c r="W862" s="1584">
        <v>20000</v>
      </c>
      <c r="X862" s="1584"/>
      <c r="Y862" s="1584"/>
      <c r="Z862" s="1584"/>
      <c r="AA862" s="1584"/>
      <c r="AB862" s="1584"/>
      <c r="AC862" s="1584"/>
      <c r="AZ862" s="34"/>
      <c r="BA862" s="34"/>
      <c r="BB862" s="34"/>
      <c r="BC862" s="34"/>
    </row>
    <row r="863" spans="1:64" ht="12.95" customHeight="1">
      <c r="J863" s="63"/>
      <c r="K863" s="48"/>
      <c r="L863" s="48"/>
      <c r="M863" s="48"/>
      <c r="N863" s="48"/>
      <c r="O863" s="48"/>
      <c r="P863" s="48"/>
      <c r="Q863" s="48"/>
      <c r="R863" s="48"/>
      <c r="S863" s="48"/>
      <c r="T863" s="48"/>
      <c r="U863" s="48"/>
      <c r="V863" s="54" t="s">
        <v>272</v>
      </c>
      <c r="W863" s="1585">
        <f>SUM(W859:W862)</f>
        <v>40000</v>
      </c>
      <c r="X863" s="1585"/>
      <c r="Y863" s="1585"/>
      <c r="Z863" s="1585"/>
      <c r="AA863" s="1585"/>
      <c r="AB863" s="1585"/>
      <c r="AC863" s="1585"/>
      <c r="AZ863" s="34"/>
      <c r="BA863" s="34"/>
      <c r="BB863" s="34"/>
      <c r="BC863" s="34"/>
    </row>
    <row r="864" spans="1:64" ht="12.95" customHeight="1">
      <c r="AZ864" s="34"/>
      <c r="BA864" s="34"/>
      <c r="BB864" s="34"/>
      <c r="BC864" s="34"/>
    </row>
    <row r="865" spans="3:55" ht="12.95" customHeight="1">
      <c r="C865" s="2" t="s">
        <v>346</v>
      </c>
      <c r="J865" s="45" t="s">
        <v>619</v>
      </c>
      <c r="K865" s="5"/>
      <c r="L865" s="5"/>
      <c r="M865" s="5"/>
      <c r="N865" s="5"/>
      <c r="O865" s="5"/>
      <c r="P865" s="5"/>
      <c r="Q865" s="5"/>
      <c r="R865" s="5"/>
      <c r="S865" s="5"/>
      <c r="T865" s="5"/>
      <c r="U865" s="5"/>
      <c r="V865" s="46"/>
      <c r="W865" s="1581">
        <v>35000</v>
      </c>
      <c r="X865" s="1582"/>
      <c r="Y865" s="1582"/>
      <c r="Z865" s="1582"/>
      <c r="AA865" s="1582"/>
      <c r="AB865" s="1582"/>
      <c r="AC865" s="1583"/>
      <c r="AD865" s="528"/>
      <c r="AZ865" s="34"/>
      <c r="BA865" s="34"/>
      <c r="BB865" s="34"/>
      <c r="BC865" s="34"/>
    </row>
    <row r="866" spans="3:55" ht="12.95" customHeight="1">
      <c r="C866" s="2" t="s">
        <v>347</v>
      </c>
      <c r="J866" s="121" t="s">
        <v>1644</v>
      </c>
      <c r="K866" s="5"/>
      <c r="L866" s="5"/>
      <c r="M866" s="5"/>
      <c r="N866" s="5"/>
      <c r="O866" s="5"/>
      <c r="P866" s="5"/>
      <c r="Q866" s="5"/>
      <c r="R866" s="5"/>
      <c r="S866" s="5"/>
      <c r="T866" s="1568"/>
      <c r="U866" s="1513"/>
      <c r="V866" s="1569"/>
      <c r="W866" s="870"/>
      <c r="X866" s="871"/>
      <c r="Y866" s="871"/>
      <c r="Z866" s="871"/>
      <c r="AA866" s="871"/>
      <c r="AB866" s="871"/>
      <c r="AC866" s="872"/>
      <c r="AD866" s="528"/>
      <c r="AZ866" s="34"/>
      <c r="BA866" s="34"/>
      <c r="BB866" s="34"/>
      <c r="BC866" s="34"/>
    </row>
    <row r="867" spans="3:55" ht="12.95" customHeight="1">
      <c r="C867" s="2"/>
      <c r="J867" s="45" t="s">
        <v>618</v>
      </c>
      <c r="K867" s="5"/>
      <c r="L867" s="5"/>
      <c r="M867" s="5"/>
      <c r="N867" s="5"/>
      <c r="O867" s="5"/>
      <c r="P867" s="5"/>
      <c r="Q867" s="5"/>
      <c r="R867" s="5"/>
      <c r="S867" s="5"/>
      <c r="T867" s="5"/>
      <c r="U867" s="5"/>
      <c r="V867" s="46"/>
      <c r="W867" s="1581"/>
      <c r="X867" s="1582"/>
      <c r="Y867" s="1582"/>
      <c r="Z867" s="1582"/>
      <c r="AA867" s="1582"/>
      <c r="AB867" s="1582"/>
      <c r="AC867" s="1583"/>
      <c r="AD867" s="533"/>
      <c r="AZ867" s="34"/>
      <c r="BA867" s="34"/>
      <c r="BB867" s="34"/>
      <c r="BC867" s="34"/>
    </row>
    <row r="868" spans="3:55" ht="12.95" customHeight="1">
      <c r="C868" s="2"/>
      <c r="J868" s="121" t="s">
        <v>1645</v>
      </c>
      <c r="K868" s="5"/>
      <c r="L868" s="5"/>
      <c r="M868" s="5"/>
      <c r="N868" s="5"/>
      <c r="O868" s="5"/>
      <c r="P868" s="5"/>
      <c r="Q868" s="5"/>
      <c r="R868" s="5"/>
      <c r="S868" s="5"/>
      <c r="T868" s="1568"/>
      <c r="U868" s="1513"/>
      <c r="V868" s="1569"/>
      <c r="W868" s="870"/>
      <c r="X868" s="871"/>
      <c r="Y868" s="871"/>
      <c r="Z868" s="871"/>
      <c r="AA868" s="871"/>
      <c r="AB868" s="871"/>
      <c r="AC868" s="872"/>
      <c r="AD868" s="533"/>
      <c r="AZ868" s="34"/>
      <c r="BA868" s="34"/>
      <c r="BB868" s="34"/>
      <c r="BC868" s="34"/>
    </row>
    <row r="869" spans="3:55" ht="12.95" customHeight="1">
      <c r="J869" s="45" t="s">
        <v>170</v>
      </c>
      <c r="K869" s="5"/>
      <c r="L869" s="5"/>
      <c r="M869" s="1541" t="s">
        <v>334</v>
      </c>
      <c r="N869" s="1542"/>
      <c r="O869" s="1542"/>
      <c r="P869" s="1542"/>
      <c r="Q869" s="1542"/>
      <c r="R869" s="1542"/>
      <c r="S869" s="1542"/>
      <c r="T869" s="1542"/>
      <c r="U869" s="1542"/>
      <c r="V869" s="1543"/>
      <c r="W869" s="1581"/>
      <c r="X869" s="1582"/>
      <c r="Y869" s="1582"/>
      <c r="Z869" s="1582"/>
      <c r="AA869" s="1582"/>
      <c r="AB869" s="1582"/>
      <c r="AC869" s="1583"/>
      <c r="AD869" s="528"/>
      <c r="AU869" s="14"/>
      <c r="AZ869" s="34"/>
      <c r="BA869" s="34"/>
      <c r="BB869" s="34"/>
      <c r="BC869" s="34"/>
    </row>
    <row r="870" spans="3:55" ht="12.95" customHeight="1">
      <c r="J870" s="45"/>
      <c r="K870" s="5"/>
      <c r="L870" s="5"/>
      <c r="M870" s="5"/>
      <c r="N870" s="5"/>
      <c r="O870" s="5"/>
      <c r="P870" s="5"/>
      <c r="Q870" s="5"/>
      <c r="R870" s="5"/>
      <c r="S870" s="5"/>
      <c r="T870" s="5"/>
      <c r="U870" s="5"/>
      <c r="V870" s="54" t="s">
        <v>273</v>
      </c>
      <c r="W870" s="1570">
        <f>SUM(W865:W869)</f>
        <v>35000</v>
      </c>
      <c r="X870" s="1571"/>
      <c r="Y870" s="1571"/>
      <c r="Z870" s="1571"/>
      <c r="AA870" s="1571"/>
      <c r="AB870" s="1571"/>
      <c r="AC870" s="1572"/>
      <c r="AD870" s="533"/>
      <c r="AU870" s="14"/>
      <c r="AZ870" s="34"/>
      <c r="BA870" s="34"/>
      <c r="BB870" s="34"/>
      <c r="BC870" s="34"/>
    </row>
    <row r="871" spans="3:55" ht="12.95" customHeight="1">
      <c r="AU871" s="14"/>
      <c r="AZ871" s="34"/>
      <c r="BA871" s="34"/>
      <c r="BB871" s="34"/>
      <c r="BC871" s="34"/>
    </row>
    <row r="872" spans="3:55" ht="12.95" customHeight="1">
      <c r="C872" s="2" t="s">
        <v>155</v>
      </c>
      <c r="J872" s="45"/>
      <c r="K872" s="5"/>
      <c r="L872" s="5"/>
      <c r="M872" s="5"/>
      <c r="N872" s="5"/>
      <c r="O872" s="5"/>
      <c r="P872" s="5"/>
      <c r="Q872" s="5"/>
      <c r="R872" s="5"/>
      <c r="S872" s="5"/>
      <c r="T872" s="5"/>
      <c r="U872" s="5"/>
      <c r="V872" s="54" t="s">
        <v>274</v>
      </c>
      <c r="W872" s="1581">
        <v>73500</v>
      </c>
      <c r="X872" s="1582"/>
      <c r="Y872" s="1582"/>
      <c r="Z872" s="1582"/>
      <c r="AA872" s="1582"/>
      <c r="AB872" s="1582"/>
      <c r="AC872" s="1583"/>
      <c r="AU872" s="14"/>
      <c r="AZ872" s="34"/>
      <c r="BA872" s="34"/>
      <c r="BB872" s="34"/>
      <c r="BC872" s="34"/>
    </row>
    <row r="873" spans="3:55" ht="12.95" customHeight="1">
      <c r="J873" s="512"/>
      <c r="AU873" s="14"/>
      <c r="AZ873" s="34"/>
      <c r="BA873" s="34"/>
      <c r="BB873" s="34"/>
      <c r="BC873" s="34"/>
    </row>
    <row r="874" spans="3:55" ht="12.95" customHeight="1">
      <c r="C874" s="2" t="s">
        <v>390</v>
      </c>
      <c r="J874" s="45" t="s">
        <v>617</v>
      </c>
      <c r="K874" s="5"/>
      <c r="L874" s="5"/>
      <c r="M874" s="5"/>
      <c r="N874" s="5"/>
      <c r="O874" s="5"/>
      <c r="P874" s="5"/>
      <c r="Q874" s="5"/>
      <c r="R874" s="5"/>
      <c r="S874" s="5"/>
      <c r="T874" s="5"/>
      <c r="U874" s="5"/>
      <c r="V874" s="46"/>
      <c r="W874" s="1567">
        <v>10000</v>
      </c>
      <c r="X874" s="1567"/>
      <c r="Y874" s="1567"/>
      <c r="Z874" s="1567"/>
      <c r="AA874" s="1567"/>
      <c r="AB874" s="1567"/>
      <c r="AC874" s="1567"/>
      <c r="AU874" s="14"/>
      <c r="AZ874" s="34"/>
      <c r="BA874" s="34"/>
      <c r="BB874" s="34"/>
      <c r="BC874" s="34"/>
    </row>
    <row r="875" spans="3:55" ht="12.95" customHeight="1">
      <c r="J875" s="45" t="s">
        <v>522</v>
      </c>
      <c r="K875" s="5"/>
      <c r="L875" s="5"/>
      <c r="M875" s="5"/>
      <c r="N875" s="5"/>
      <c r="O875" s="5"/>
      <c r="P875" s="5"/>
      <c r="Q875" s="5"/>
      <c r="R875" s="5"/>
      <c r="S875" s="5"/>
      <c r="T875" s="5"/>
      <c r="U875" s="5"/>
      <c r="V875" s="46"/>
      <c r="W875" s="1567">
        <v>19900</v>
      </c>
      <c r="X875" s="1567"/>
      <c r="Y875" s="1567"/>
      <c r="Z875" s="1567"/>
      <c r="AA875" s="1567"/>
      <c r="AB875" s="1567"/>
      <c r="AC875" s="1567"/>
      <c r="AU875" s="4"/>
      <c r="AZ875" s="34"/>
      <c r="BA875" s="34"/>
      <c r="BB875" s="34"/>
      <c r="BC875" s="34"/>
    </row>
    <row r="876" spans="3:55" ht="12.95" customHeight="1">
      <c r="J876" s="45" t="s">
        <v>521</v>
      </c>
      <c r="K876" s="5"/>
      <c r="L876" s="5"/>
      <c r="M876" s="5"/>
      <c r="N876" s="5"/>
      <c r="O876" s="5"/>
      <c r="P876" s="5"/>
      <c r="Q876" s="5"/>
      <c r="R876" s="5"/>
      <c r="S876" s="5"/>
      <c r="T876" s="5"/>
      <c r="U876" s="5"/>
      <c r="V876" s="46"/>
      <c r="W876" s="1567">
        <v>33273</v>
      </c>
      <c r="X876" s="1567"/>
      <c r="Y876" s="1567"/>
      <c r="Z876" s="1567"/>
      <c r="AA876" s="1567"/>
      <c r="AB876" s="1567"/>
      <c r="AC876" s="1567"/>
      <c r="AU876" s="4"/>
      <c r="AZ876" s="34"/>
      <c r="BA876" s="34"/>
      <c r="BB876" s="34"/>
      <c r="BC876" s="34"/>
    </row>
    <row r="877" spans="3:55" ht="12.95" customHeight="1">
      <c r="J877" s="45" t="s">
        <v>520</v>
      </c>
      <c r="K877" s="5"/>
      <c r="L877" s="5"/>
      <c r="M877" s="5"/>
      <c r="N877" s="5"/>
      <c r="O877" s="5"/>
      <c r="P877" s="5"/>
      <c r="Q877" s="5"/>
      <c r="R877" s="5"/>
      <c r="S877" s="5"/>
      <c r="T877" s="5"/>
      <c r="U877" s="5"/>
      <c r="V877" s="46"/>
      <c r="W877" s="1567">
        <v>10000</v>
      </c>
      <c r="X877" s="1567"/>
      <c r="Y877" s="1567"/>
      <c r="Z877" s="1567"/>
      <c r="AA877" s="1567"/>
      <c r="AB877" s="1567"/>
      <c r="AC877" s="1567"/>
      <c r="AU877" s="4"/>
      <c r="AZ877" s="34"/>
      <c r="BA877" s="34"/>
      <c r="BB877" s="34"/>
      <c r="BC877" s="34"/>
    </row>
    <row r="878" spans="3:55" ht="12.95" customHeight="1">
      <c r="J878" s="45" t="s">
        <v>519</v>
      </c>
      <c r="K878" s="5"/>
      <c r="L878" s="5"/>
      <c r="M878" s="5"/>
      <c r="N878" s="5"/>
      <c r="O878" s="5"/>
      <c r="P878" s="5"/>
      <c r="Q878" s="5"/>
      <c r="R878" s="5"/>
      <c r="S878" s="5"/>
      <c r="T878" s="5"/>
      <c r="U878" s="5"/>
      <c r="V878" s="46"/>
      <c r="W878" s="1567">
        <v>10000</v>
      </c>
      <c r="X878" s="1567"/>
      <c r="Y878" s="1567"/>
      <c r="Z878" s="1567"/>
      <c r="AA878" s="1567"/>
      <c r="AB878" s="1567"/>
      <c r="AC878" s="1567"/>
      <c r="AU878" s="4"/>
      <c r="AZ878" s="34"/>
      <c r="BA878" s="34"/>
      <c r="BB878" s="34"/>
      <c r="BC878" s="34"/>
    </row>
    <row r="879" spans="3:55" ht="12.95" customHeight="1">
      <c r="J879" s="45" t="s">
        <v>518</v>
      </c>
      <c r="K879" s="5"/>
      <c r="L879" s="5"/>
      <c r="M879" s="5"/>
      <c r="N879" s="5"/>
      <c r="O879" s="5"/>
      <c r="P879" s="5"/>
      <c r="Q879" s="5"/>
      <c r="R879" s="5"/>
      <c r="S879" s="5"/>
      <c r="T879" s="5"/>
      <c r="U879" s="5"/>
      <c r="V879" s="46"/>
      <c r="W879" s="1567"/>
      <c r="X879" s="1567"/>
      <c r="Y879" s="1567"/>
      <c r="Z879" s="1567"/>
      <c r="AA879" s="1567"/>
      <c r="AB879" s="1567"/>
      <c r="AC879" s="1567"/>
      <c r="AU879" s="4"/>
      <c r="AZ879" s="34"/>
      <c r="BA879" s="34"/>
      <c r="BB879" s="34"/>
      <c r="BC879" s="34"/>
    </row>
    <row r="880" spans="3:55" ht="12.95" customHeight="1">
      <c r="J880" s="45" t="s">
        <v>170</v>
      </c>
      <c r="K880" s="5"/>
      <c r="L880" s="5"/>
      <c r="M880" s="1541" t="s">
        <v>334</v>
      </c>
      <c r="N880" s="1542"/>
      <c r="O880" s="1542"/>
      <c r="P880" s="1542"/>
      <c r="Q880" s="1542"/>
      <c r="R880" s="1542"/>
      <c r="S880" s="1542"/>
      <c r="T880" s="1542"/>
      <c r="U880" s="1542"/>
      <c r="V880" s="1543"/>
      <c r="W880" s="1567"/>
      <c r="X880" s="1567"/>
      <c r="Y880" s="1567"/>
      <c r="Z880" s="1567"/>
      <c r="AA880" s="1567"/>
      <c r="AB880" s="1567"/>
      <c r="AC880" s="1567"/>
      <c r="AD880" s="533"/>
      <c r="AU880" s="4"/>
      <c r="AV880" s="14"/>
      <c r="AW880" s="14"/>
      <c r="AX880" s="14"/>
      <c r="AY880" s="14"/>
      <c r="AZ880" s="34"/>
      <c r="BA880" s="34"/>
      <c r="BB880" s="34"/>
      <c r="BC880" s="34"/>
    </row>
    <row r="881" spans="3:55" ht="12.95" customHeight="1">
      <c r="J881" s="45"/>
      <c r="K881" s="5"/>
      <c r="L881" s="5"/>
      <c r="M881" s="5"/>
      <c r="N881" s="5"/>
      <c r="O881" s="5"/>
      <c r="P881" s="5"/>
      <c r="Q881" s="5"/>
      <c r="R881" s="5"/>
      <c r="S881" s="5"/>
      <c r="T881" s="5"/>
      <c r="U881" s="5"/>
      <c r="V881" s="54" t="s">
        <v>275</v>
      </c>
      <c r="W881" s="1531">
        <f>SUM(W874:W880)</f>
        <v>83173</v>
      </c>
      <c r="X881" s="1531"/>
      <c r="Y881" s="1531"/>
      <c r="Z881" s="1531"/>
      <c r="AA881" s="1531"/>
      <c r="AB881" s="1531"/>
      <c r="AC881" s="1531"/>
      <c r="AU881" s="4"/>
      <c r="AV881" s="14"/>
      <c r="AW881" s="14"/>
      <c r="AX881" s="14"/>
      <c r="AY881" s="14"/>
      <c r="AZ881" s="34"/>
      <c r="BA881" s="34"/>
      <c r="BB881" s="34"/>
      <c r="BC881" s="34"/>
    </row>
    <row r="882" spans="3:55" ht="12.95" customHeight="1">
      <c r="AU882" s="4"/>
      <c r="AV882" s="14"/>
      <c r="AW882" s="14"/>
      <c r="AX882" s="14"/>
      <c r="AY882" s="14"/>
      <c r="AZ882" s="34"/>
      <c r="BA882" s="34"/>
      <c r="BB882" s="34"/>
      <c r="BC882" s="34"/>
    </row>
    <row r="883" spans="3:55" ht="12.95" customHeight="1">
      <c r="C883" s="2" t="s">
        <v>1243</v>
      </c>
      <c r="J883" s="45" t="s">
        <v>170</v>
      </c>
      <c r="K883" s="5"/>
      <c r="L883" s="5"/>
      <c r="M883" s="1541" t="s">
        <v>334</v>
      </c>
      <c r="N883" s="1542"/>
      <c r="O883" s="1542"/>
      <c r="P883" s="1542"/>
      <c r="Q883" s="1542"/>
      <c r="R883" s="1542"/>
      <c r="S883" s="1542"/>
      <c r="T883" s="1542"/>
      <c r="U883" s="1542"/>
      <c r="V883" s="1543"/>
      <c r="W883" s="1420"/>
      <c r="X883" s="1272"/>
      <c r="Y883" s="1272"/>
      <c r="Z883" s="1272"/>
      <c r="AA883" s="1272"/>
      <c r="AB883" s="1272"/>
      <c r="AC883" s="1273"/>
      <c r="AD883" s="533"/>
      <c r="AV883" s="14"/>
      <c r="AW883" s="14"/>
      <c r="AX883" s="14"/>
      <c r="AY883" s="14"/>
      <c r="AZ883" s="34"/>
      <c r="BA883" s="34"/>
      <c r="BB883" s="34"/>
      <c r="BC883" s="34"/>
    </row>
    <row r="884" spans="3:55" ht="12.95" customHeight="1">
      <c r="C884" s="2" t="s">
        <v>1244</v>
      </c>
      <c r="J884" s="45" t="s">
        <v>170</v>
      </c>
      <c r="K884" s="5"/>
      <c r="L884" s="5"/>
      <c r="M884" s="1541" t="s">
        <v>334</v>
      </c>
      <c r="N884" s="1542"/>
      <c r="O884" s="1542"/>
      <c r="P884" s="1542"/>
      <c r="Q884" s="1542"/>
      <c r="R884" s="1542"/>
      <c r="S884" s="1542"/>
      <c r="T884" s="1542"/>
      <c r="U884" s="1542"/>
      <c r="V884" s="1543"/>
      <c r="W884" s="1420"/>
      <c r="X884" s="1272"/>
      <c r="Y884" s="1272"/>
      <c r="Z884" s="1272"/>
      <c r="AA884" s="1272"/>
      <c r="AB884" s="1272"/>
      <c r="AC884" s="1273"/>
      <c r="AD884" s="533"/>
      <c r="AV884" s="14"/>
      <c r="AW884" s="14"/>
      <c r="AX884" s="14"/>
      <c r="AY884" s="14"/>
      <c r="AZ884" s="34"/>
      <c r="BA884" s="34"/>
      <c r="BB884" s="34"/>
      <c r="BC884" s="34"/>
    </row>
    <row r="885" spans="3:55" ht="12.95" customHeight="1">
      <c r="J885" s="45" t="s">
        <v>170</v>
      </c>
      <c r="K885" s="5"/>
      <c r="L885" s="5"/>
      <c r="M885" s="1541" t="s">
        <v>334</v>
      </c>
      <c r="N885" s="1542"/>
      <c r="O885" s="1542"/>
      <c r="P885" s="1542"/>
      <c r="Q885" s="1542"/>
      <c r="R885" s="1542"/>
      <c r="S885" s="1542"/>
      <c r="T885" s="1542"/>
      <c r="U885" s="1542"/>
      <c r="V885" s="1543"/>
      <c r="W885" s="1420"/>
      <c r="X885" s="1272"/>
      <c r="Y885" s="1272"/>
      <c r="Z885" s="1272"/>
      <c r="AA885" s="1272"/>
      <c r="AB885" s="1272"/>
      <c r="AC885" s="1273"/>
      <c r="AL885" s="14"/>
      <c r="AM885" s="14"/>
      <c r="AN885" s="14"/>
      <c r="AO885" s="14"/>
      <c r="AP885" s="14"/>
      <c r="AQ885" s="14"/>
      <c r="AR885" s="14"/>
      <c r="AS885" s="14"/>
      <c r="AT885" s="14"/>
      <c r="AV885" s="4"/>
      <c r="AW885" s="4"/>
      <c r="AX885" s="4"/>
      <c r="AY885" s="4"/>
      <c r="AZ885" s="34"/>
      <c r="BA885" s="34"/>
      <c r="BB885" s="34"/>
      <c r="BC885" s="34"/>
    </row>
    <row r="886" spans="3:55" ht="12.95" customHeight="1">
      <c r="J886" s="45" t="s">
        <v>170</v>
      </c>
      <c r="K886" s="5"/>
      <c r="L886" s="5"/>
      <c r="M886" s="1541" t="s">
        <v>334</v>
      </c>
      <c r="N886" s="1542"/>
      <c r="O886" s="1542"/>
      <c r="P886" s="1542"/>
      <c r="Q886" s="1542"/>
      <c r="R886" s="1542"/>
      <c r="S886" s="1542"/>
      <c r="T886" s="1542"/>
      <c r="U886" s="1542"/>
      <c r="V886" s="1543"/>
      <c r="W886" s="1420"/>
      <c r="X886" s="1272"/>
      <c r="Y886" s="1272"/>
      <c r="Z886" s="1272"/>
      <c r="AA886" s="1272"/>
      <c r="AB886" s="1272"/>
      <c r="AC886" s="1273"/>
      <c r="AL886" s="14"/>
      <c r="AM886" s="14"/>
      <c r="AN886" s="14"/>
      <c r="AO886" s="14"/>
      <c r="AP886" s="14"/>
      <c r="AQ886" s="14"/>
      <c r="AR886" s="14"/>
      <c r="AS886" s="14"/>
      <c r="AT886" s="14"/>
      <c r="AV886" s="4"/>
      <c r="AW886" s="4"/>
      <c r="AX886" s="4"/>
      <c r="AY886" s="4"/>
      <c r="AZ886" s="34"/>
      <c r="BA886" s="34"/>
      <c r="BB886" s="34"/>
      <c r="BC886" s="34"/>
    </row>
    <row r="887" spans="3:55" ht="12.95" customHeight="1">
      <c r="J887" s="45" t="s">
        <v>170</v>
      </c>
      <c r="K887" s="5"/>
      <c r="L887" s="5"/>
      <c r="M887" s="1541" t="s">
        <v>334</v>
      </c>
      <c r="N887" s="1542"/>
      <c r="O887" s="1542"/>
      <c r="P887" s="1542"/>
      <c r="Q887" s="1542"/>
      <c r="R887" s="1542"/>
      <c r="S887" s="1542"/>
      <c r="T887" s="1542"/>
      <c r="U887" s="1542"/>
      <c r="V887" s="1543"/>
      <c r="W887" s="1420"/>
      <c r="X887" s="1272"/>
      <c r="Y887" s="1272"/>
      <c r="Z887" s="1272"/>
      <c r="AA887" s="1272"/>
      <c r="AB887" s="1272"/>
      <c r="AC887" s="1273"/>
      <c r="AL887" s="14"/>
      <c r="AM887" s="14"/>
      <c r="AN887" s="14"/>
      <c r="AO887" s="14"/>
      <c r="AP887" s="14"/>
      <c r="AQ887" s="14"/>
      <c r="AR887" s="14"/>
      <c r="AS887" s="14"/>
      <c r="AT887" s="14"/>
      <c r="AV887" s="4"/>
      <c r="AW887" s="4"/>
      <c r="AX887" s="4"/>
      <c r="AY887" s="4"/>
      <c r="AZ887" s="34"/>
      <c r="BA887" s="34"/>
      <c r="BB887" s="34"/>
      <c r="BC887" s="34"/>
    </row>
    <row r="888" spans="3:55" ht="12.95" customHeight="1">
      <c r="J888" s="45"/>
      <c r="K888" s="5"/>
      <c r="L888" s="5"/>
      <c r="M888" s="5"/>
      <c r="N888" s="5"/>
      <c r="O888" s="5"/>
      <c r="P888" s="5"/>
      <c r="Q888" s="5"/>
      <c r="R888" s="5"/>
      <c r="S888" s="5"/>
      <c r="T888" s="5"/>
      <c r="U888" s="5"/>
      <c r="V888" s="54" t="s">
        <v>276</v>
      </c>
      <c r="W888" s="1417">
        <f>SUM(W883:W887)</f>
        <v>0</v>
      </c>
      <c r="X888" s="1418"/>
      <c r="Y888" s="1418"/>
      <c r="Z888" s="1418"/>
      <c r="AA888" s="1418"/>
      <c r="AB888" s="1418"/>
      <c r="AC888" s="1419"/>
      <c r="AL888" s="14"/>
      <c r="AM888" s="14"/>
      <c r="AN888" s="14"/>
      <c r="AO888" s="14"/>
      <c r="AP888" s="14"/>
      <c r="AQ888" s="14"/>
      <c r="AR888" s="14"/>
      <c r="AS888" s="14"/>
      <c r="AT888" s="14"/>
      <c r="AV888" s="4"/>
      <c r="AW888" s="4"/>
      <c r="AX888" s="4"/>
      <c r="AY888" s="4"/>
      <c r="AZ888" s="34"/>
      <c r="BA888" s="34"/>
      <c r="BB888" s="34"/>
      <c r="BC888" s="34"/>
    </row>
    <row r="889" spans="3:55" ht="12.95" customHeight="1">
      <c r="E889" s="512"/>
      <c r="V889" s="56"/>
      <c r="W889" s="64"/>
      <c r="X889" s="64"/>
      <c r="Y889" s="64"/>
      <c r="Z889" s="64"/>
      <c r="AA889" s="64"/>
      <c r="AB889" s="64"/>
      <c r="AL889" s="14"/>
      <c r="AM889" s="14"/>
      <c r="AN889" s="14"/>
      <c r="AO889" s="14"/>
      <c r="AP889" s="14"/>
      <c r="AQ889" s="14"/>
      <c r="AR889" s="14"/>
      <c r="AS889" s="14"/>
      <c r="AT889" s="14"/>
      <c r="AV889" s="4"/>
      <c r="AW889" s="4"/>
      <c r="AX889" s="4"/>
      <c r="AY889" s="4"/>
      <c r="AZ889" s="34"/>
      <c r="BA889" s="34"/>
      <c r="BB889" s="34"/>
      <c r="BC889" s="34"/>
    </row>
    <row r="890" spans="3:55" ht="12.95" customHeight="1">
      <c r="C890" s="2" t="s">
        <v>178</v>
      </c>
      <c r="I890" s="533"/>
      <c r="J890" s="533"/>
      <c r="V890" s="56"/>
      <c r="W890" s="64"/>
      <c r="X890" s="64"/>
      <c r="Y890" s="64"/>
      <c r="Z890" s="64"/>
      <c r="AA890" s="64"/>
      <c r="AB890" s="64"/>
      <c r="AL890" s="4"/>
      <c r="AM890" s="4"/>
      <c r="AN890" s="4"/>
      <c r="AO890" s="4"/>
      <c r="AP890" s="4"/>
      <c r="AQ890" s="4"/>
      <c r="AR890" s="4"/>
      <c r="AS890" s="4"/>
      <c r="AT890" s="4"/>
      <c r="AV890" s="4"/>
      <c r="AW890" s="4"/>
      <c r="AX890" s="4"/>
      <c r="AY890" s="4"/>
      <c r="AZ890" s="34"/>
      <c r="BA890" s="34"/>
      <c r="BB890" s="34"/>
      <c r="BC890" s="34"/>
    </row>
    <row r="891" spans="3:55" ht="12.95" customHeight="1">
      <c r="E891" s="512"/>
      <c r="V891" s="56"/>
      <c r="W891" s="64"/>
      <c r="X891" s="64"/>
      <c r="Y891" s="64"/>
      <c r="Z891" s="64"/>
      <c r="AA891" s="64"/>
      <c r="AB891" s="64"/>
      <c r="AL891" s="4"/>
      <c r="AM891" s="4"/>
      <c r="AN891" s="4"/>
      <c r="AO891" s="4"/>
      <c r="AP891" s="4"/>
      <c r="AQ891" s="4"/>
      <c r="AR891" s="4"/>
      <c r="AS891" s="4"/>
      <c r="AT891" s="4"/>
      <c r="AV891" s="4"/>
      <c r="AW891" s="4"/>
      <c r="AX891" s="4"/>
      <c r="AY891" s="4"/>
      <c r="AZ891" s="34"/>
      <c r="BA891" s="34"/>
      <c r="BB891" s="34"/>
      <c r="BC891" s="34"/>
    </row>
    <row r="892" spans="3:55" ht="12.95" customHeight="1">
      <c r="C892" s="41"/>
      <c r="D892" s="42"/>
      <c r="E892" s="42"/>
      <c r="F892" s="42"/>
      <c r="G892" s="42"/>
      <c r="H892" s="42"/>
      <c r="I892" s="42"/>
      <c r="J892" s="42"/>
      <c r="K892" s="42"/>
      <c r="L892" s="42"/>
      <c r="M892" s="42"/>
      <c r="N892" s="42"/>
      <c r="O892" s="42"/>
      <c r="P892" s="42"/>
      <c r="Q892" s="42"/>
      <c r="R892" s="42"/>
      <c r="S892" s="42"/>
      <c r="T892" s="42"/>
      <c r="U892" s="42"/>
      <c r="V892" s="42"/>
      <c r="W892" s="42"/>
      <c r="X892" s="42"/>
      <c r="Y892" s="42"/>
      <c r="Z892" s="42"/>
      <c r="AA892" s="42"/>
      <c r="AB892" s="889" t="s">
        <v>277</v>
      </c>
      <c r="AC892" s="1418">
        <f>W855+W863+W870+W872+W881+W888+W857</f>
        <v>298410</v>
      </c>
      <c r="AD892" s="1418"/>
      <c r="AE892" s="1418"/>
      <c r="AF892" s="1418"/>
      <c r="AG892" s="1418"/>
      <c r="AH892" s="1419"/>
      <c r="AL892" s="4"/>
      <c r="AM892" s="4"/>
      <c r="AN892" s="4"/>
      <c r="AO892" s="4"/>
      <c r="AP892" s="4"/>
      <c r="AQ892" s="4"/>
      <c r="AR892" s="4"/>
      <c r="AS892" s="4"/>
      <c r="AT892" s="4"/>
      <c r="AV892" s="4"/>
      <c r="AW892" s="4"/>
      <c r="AX892" s="4"/>
      <c r="AY892" s="4"/>
      <c r="AZ892" s="34"/>
      <c r="BA892" s="34"/>
      <c r="BB892" s="34"/>
      <c r="BC892" s="34"/>
    </row>
    <row r="893" spans="3:55" ht="12.95" customHeight="1">
      <c r="C893" s="41"/>
      <c r="D893" s="42"/>
      <c r="E893" s="42"/>
      <c r="F893" s="42"/>
      <c r="G893" s="42"/>
      <c r="H893" s="42"/>
      <c r="I893" s="42"/>
      <c r="J893" s="42"/>
      <c r="K893" s="42"/>
      <c r="L893" s="42"/>
      <c r="M893" s="42"/>
      <c r="N893" s="42"/>
      <c r="O893" s="42"/>
      <c r="P893" s="42"/>
      <c r="Q893" s="42"/>
      <c r="R893" s="42"/>
      <c r="S893" s="42"/>
      <c r="T893" s="42"/>
      <c r="U893" s="42"/>
      <c r="V893" s="42"/>
      <c r="W893" s="42"/>
      <c r="X893" s="42"/>
      <c r="Y893" s="42"/>
      <c r="Z893" s="42"/>
      <c r="AA893" s="42"/>
      <c r="AB893" s="889" t="s">
        <v>511</v>
      </c>
      <c r="AC893" s="1591">
        <f>O805+O785+G761</f>
        <v>49</v>
      </c>
      <c r="AD893" s="1591"/>
      <c r="AE893" s="1591"/>
      <c r="AF893" s="1591"/>
      <c r="AG893" s="1591"/>
      <c r="AH893" s="1592"/>
      <c r="AL893" s="4"/>
      <c r="AM893" s="4"/>
      <c r="AN893" s="4"/>
      <c r="AO893" s="4"/>
      <c r="AP893" s="4"/>
      <c r="AQ893" s="4"/>
      <c r="AR893" s="4"/>
      <c r="AS893" s="4"/>
      <c r="AT893" s="4"/>
      <c r="AZ893" s="34"/>
      <c r="BA893" s="34"/>
      <c r="BB893" s="34"/>
      <c r="BC893" s="34"/>
    </row>
    <row r="894" spans="3:55" ht="12.95" customHeight="1">
      <c r="C894" s="41"/>
      <c r="D894" s="42"/>
      <c r="E894" s="1561" t="s">
        <v>32</v>
      </c>
      <c r="F894" s="1561"/>
      <c r="G894" s="1561"/>
      <c r="H894" s="1561"/>
      <c r="I894" s="1561"/>
      <c r="J894" s="1561"/>
      <c r="K894" s="1561"/>
      <c r="L894" s="1561"/>
      <c r="M894" s="1561"/>
      <c r="N894" s="1561"/>
      <c r="O894" s="1561"/>
      <c r="P894" s="1561"/>
      <c r="Q894" s="1561"/>
      <c r="R894" s="1561"/>
      <c r="S894" s="1561"/>
      <c r="T894" s="1561"/>
      <c r="U894" s="1561"/>
      <c r="V894" s="1561"/>
      <c r="W894" s="1561"/>
      <c r="X894" s="1561"/>
      <c r="Y894" s="1561"/>
      <c r="Z894" s="1561"/>
      <c r="AA894" s="1561"/>
      <c r="AB894" s="1562"/>
      <c r="AC894" s="1531">
        <f>IF(ISERROR((ROUNDDOWN(AC892/AC893,0))),0,(ROUNDDOWN(AC892/AC893,0)))</f>
        <v>6090</v>
      </c>
      <c r="AD894" s="1531"/>
      <c r="AE894" s="1531"/>
      <c r="AF894" s="1531"/>
      <c r="AG894" s="1531"/>
      <c r="AH894" s="1531"/>
      <c r="AL894" s="4"/>
      <c r="AM894" s="4"/>
      <c r="AN894" s="4"/>
      <c r="AO894" s="4"/>
      <c r="AP894" s="4"/>
      <c r="AQ894" s="4"/>
      <c r="AR894" s="4"/>
      <c r="AS894" s="4"/>
      <c r="AT894" s="4"/>
      <c r="AZ894" s="34"/>
      <c r="BA894" s="34"/>
      <c r="BB894" s="34"/>
      <c r="BC894" s="34"/>
    </row>
    <row r="895" spans="3:55" ht="12.95" customHeight="1">
      <c r="C895" s="45"/>
      <c r="D895" s="5"/>
      <c r="E895" s="5"/>
      <c r="F895" s="5"/>
      <c r="G895" s="5"/>
      <c r="H895" s="5"/>
      <c r="I895" s="5"/>
      <c r="J895" s="5"/>
      <c r="K895" s="5"/>
      <c r="L895" s="5"/>
      <c r="M895" s="5"/>
      <c r="N895" s="5"/>
      <c r="O895" s="5"/>
      <c r="P895" s="5"/>
      <c r="Q895" s="5"/>
      <c r="R895" s="5"/>
      <c r="S895" s="5"/>
      <c r="T895" s="5"/>
      <c r="U895" s="5"/>
      <c r="V895" s="5"/>
      <c r="W895" s="5"/>
      <c r="X895" s="5"/>
      <c r="Y895" s="5"/>
      <c r="Z895" s="5"/>
      <c r="AA895" s="5"/>
      <c r="AB895" s="54" t="s">
        <v>761</v>
      </c>
      <c r="AC895" s="1593">
        <f>'Sources and Uses Budget'!C75</f>
        <v>222868</v>
      </c>
      <c r="AD895" s="1594"/>
      <c r="AE895" s="1594"/>
      <c r="AF895" s="1594"/>
      <c r="AG895" s="1594"/>
      <c r="AH895" s="1594"/>
      <c r="AL895" s="4"/>
      <c r="AM895" s="4"/>
      <c r="AN895" s="4"/>
      <c r="AO895" s="4"/>
      <c r="AP895" s="4"/>
      <c r="AQ895" s="4"/>
      <c r="AR895" s="4"/>
      <c r="AS895" s="4"/>
      <c r="AT895" s="4"/>
      <c r="AZ895" s="34"/>
      <c r="BA895" s="34"/>
      <c r="BB895" s="34"/>
      <c r="BC895" s="34"/>
    </row>
    <row r="896" spans="3:55" ht="12.95" customHeight="1">
      <c r="C896" s="45"/>
      <c r="D896" s="5"/>
      <c r="E896" s="5"/>
      <c r="F896" s="5"/>
      <c r="G896" s="5"/>
      <c r="H896" s="5"/>
      <c r="I896" s="5"/>
      <c r="J896" s="5"/>
      <c r="K896" s="5"/>
      <c r="L896" s="5"/>
      <c r="M896" s="5"/>
      <c r="N896" s="5"/>
      <c r="O896" s="5"/>
      <c r="P896" s="5"/>
      <c r="Q896" s="5"/>
      <c r="R896" s="5"/>
      <c r="S896" s="5"/>
      <c r="T896" s="5"/>
      <c r="U896" s="5"/>
      <c r="V896" s="5"/>
      <c r="W896" s="5"/>
      <c r="X896" s="5"/>
      <c r="Y896" s="5"/>
      <c r="Z896" s="5"/>
      <c r="AA896" s="5"/>
      <c r="AB896" s="54" t="s">
        <v>1160</v>
      </c>
      <c r="AC896" s="1273"/>
      <c r="AD896" s="1567"/>
      <c r="AE896" s="1567"/>
      <c r="AF896" s="1567"/>
      <c r="AG896" s="1567"/>
      <c r="AH896" s="1567"/>
      <c r="AL896" s="4"/>
      <c r="AM896" s="4"/>
      <c r="AN896" s="4"/>
      <c r="AO896" s="4"/>
      <c r="AP896" s="4"/>
      <c r="AQ896" s="4"/>
      <c r="AR896" s="4"/>
      <c r="AS896" s="4"/>
      <c r="AT896" s="4"/>
      <c r="AZ896" s="34"/>
      <c r="BA896" s="34"/>
      <c r="BB896" s="34"/>
      <c r="BC896" s="34"/>
    </row>
    <row r="897" spans="1:58" ht="12.95" customHeight="1">
      <c r="C897" s="45"/>
      <c r="D897" s="5"/>
      <c r="E897" s="5"/>
      <c r="F897" s="5"/>
      <c r="G897" s="5"/>
      <c r="H897" s="5"/>
      <c r="I897" s="5"/>
      <c r="J897" s="5"/>
      <c r="K897" s="5"/>
      <c r="L897" s="5"/>
      <c r="M897" s="5"/>
      <c r="N897" s="5"/>
      <c r="O897" s="5"/>
      <c r="P897" s="5"/>
      <c r="Q897" s="5"/>
      <c r="R897" s="5"/>
      <c r="S897" s="5"/>
      <c r="T897" s="5"/>
      <c r="U897" s="5"/>
      <c r="V897" s="5"/>
      <c r="W897" s="5"/>
      <c r="X897" s="5"/>
      <c r="Y897" s="5"/>
      <c r="Z897" s="5"/>
      <c r="AA897" s="5"/>
      <c r="AB897" s="54" t="s">
        <v>510</v>
      </c>
      <c r="AC897" s="1272">
        <v>22800</v>
      </c>
      <c r="AD897" s="1272"/>
      <c r="AE897" s="1272"/>
      <c r="AF897" s="1272"/>
      <c r="AG897" s="1272"/>
      <c r="AH897" s="1273"/>
      <c r="AL897" s="4"/>
      <c r="AM897" s="4"/>
      <c r="AN897" s="4"/>
      <c r="AO897" s="4"/>
      <c r="AP897" s="4"/>
      <c r="AQ897" s="4"/>
      <c r="AR897" s="4"/>
      <c r="AS897" s="4"/>
      <c r="AT897" s="4"/>
      <c r="AZ897" s="34"/>
      <c r="BA897" s="34"/>
      <c r="BB897" s="34"/>
      <c r="BC897" s="34"/>
    </row>
    <row r="898" spans="1:58" ht="12.95" customHeight="1">
      <c r="C898" s="45"/>
      <c r="D898" s="5"/>
      <c r="E898" s="5"/>
      <c r="F898" s="5"/>
      <c r="G898" s="5"/>
      <c r="H898" s="5"/>
      <c r="I898" s="5"/>
      <c r="J898" s="5"/>
      <c r="K898" s="5"/>
      <c r="L898" s="5"/>
      <c r="M898" s="5"/>
      <c r="N898" s="5"/>
      <c r="O898" s="5"/>
      <c r="P898" s="5"/>
      <c r="Q898" s="5"/>
      <c r="R898" s="5"/>
      <c r="S898" s="5"/>
      <c r="T898" s="5"/>
      <c r="U898" s="5"/>
      <c r="V898" s="5"/>
      <c r="W898" s="5"/>
      <c r="X898" s="5"/>
      <c r="Y898" s="5"/>
      <c r="Z898" s="5"/>
      <c r="AA898" s="5"/>
      <c r="AB898" s="54" t="s">
        <v>80</v>
      </c>
      <c r="AC898" s="1272">
        <v>12250</v>
      </c>
      <c r="AD898" s="1272"/>
      <c r="AE898" s="1272"/>
      <c r="AF898" s="1272"/>
      <c r="AG898" s="1272"/>
      <c r="AH898" s="1273"/>
      <c r="AZ898" s="34"/>
      <c r="BA898" s="34"/>
      <c r="BB898" s="34"/>
      <c r="BC898" s="34"/>
    </row>
    <row r="899" spans="1:58" ht="12.95" customHeight="1">
      <c r="C899" s="45"/>
      <c r="D899" s="5"/>
      <c r="E899" s="5"/>
      <c r="F899" s="5"/>
      <c r="G899" s="5"/>
      <c r="H899" s="5"/>
      <c r="I899" s="5"/>
      <c r="J899" s="5"/>
      <c r="K899" s="5"/>
      <c r="L899" s="5"/>
      <c r="M899" s="5"/>
      <c r="N899" s="5"/>
      <c r="O899" s="5"/>
      <c r="P899" s="5"/>
      <c r="Q899" s="5"/>
      <c r="R899" s="5"/>
      <c r="S899" s="5"/>
      <c r="T899" s="5"/>
      <c r="U899" s="5"/>
      <c r="V899" s="5"/>
      <c r="W899" s="5"/>
      <c r="X899" s="5"/>
      <c r="Y899" s="5"/>
      <c r="Z899" s="5"/>
      <c r="AA899" s="5"/>
      <c r="AB899" s="54" t="s">
        <v>1667</v>
      </c>
      <c r="AC899" s="1514"/>
      <c r="AD899" s="1515"/>
      <c r="AE899" s="1515"/>
      <c r="AF899" s="1515"/>
      <c r="AG899" s="1515"/>
      <c r="AH899" s="1516"/>
      <c r="AZ899" s="34"/>
      <c r="BA899" s="34"/>
      <c r="BB899" s="34"/>
      <c r="BC899" s="34"/>
    </row>
    <row r="900" spans="1:58" ht="12.95" customHeight="1">
      <c r="C900" s="45"/>
      <c r="D900" s="5"/>
      <c r="E900" s="5"/>
      <c r="F900" s="5"/>
      <c r="G900" s="5"/>
      <c r="H900" s="5"/>
      <c r="I900" s="5"/>
      <c r="J900" s="5"/>
      <c r="K900" s="5"/>
      <c r="L900" s="5"/>
      <c r="M900" s="5"/>
      <c r="N900" s="5"/>
      <c r="O900" s="5"/>
      <c r="P900" s="5"/>
      <c r="Q900" s="5"/>
      <c r="R900" s="5"/>
      <c r="S900" s="5"/>
      <c r="T900" s="5"/>
      <c r="U900" s="5"/>
      <c r="V900" s="5"/>
      <c r="W900" s="5"/>
      <c r="X900" s="5"/>
      <c r="Y900" s="5"/>
      <c r="Z900" s="5"/>
      <c r="AA900" s="5"/>
      <c r="AB900" s="54" t="s">
        <v>81</v>
      </c>
      <c r="AC900" s="1272"/>
      <c r="AD900" s="1272"/>
      <c r="AE900" s="1272"/>
      <c r="AF900" s="1272"/>
      <c r="AG900" s="1272"/>
      <c r="AH900" s="1273"/>
      <c r="AZ900" s="34"/>
      <c r="BA900" s="34"/>
      <c r="BB900" s="34"/>
      <c r="BC900" s="34"/>
    </row>
    <row r="901" spans="1:58" ht="12.95" hidden="1" customHeight="1">
      <c r="C901" s="1360" t="s">
        <v>2186</v>
      </c>
      <c r="D901" s="1361"/>
      <c r="E901" s="1361"/>
      <c r="F901" s="1361"/>
      <c r="G901" s="1361"/>
      <c r="H901" s="1361"/>
      <c r="I901" s="1361"/>
      <c r="J901" s="1361"/>
      <c r="K901" s="1361"/>
      <c r="L901" s="1361"/>
      <c r="M901" s="1361"/>
      <c r="N901" s="1361"/>
      <c r="O901" s="1361"/>
      <c r="P901" s="1361"/>
      <c r="Q901" s="1361"/>
      <c r="R901" s="1361"/>
      <c r="S901" s="1361"/>
      <c r="T901" s="1361"/>
      <c r="U901" s="1361"/>
      <c r="V901" s="1361"/>
      <c r="W901" s="1361"/>
      <c r="X901" s="1361"/>
      <c r="Y901" s="1361"/>
      <c r="Z901" s="1361"/>
      <c r="AA901" s="1361"/>
      <c r="AB901" s="1363"/>
      <c r="AC901" s="1272"/>
      <c r="AD901" s="1272"/>
      <c r="AE901" s="1272"/>
      <c r="AF901" s="1272"/>
      <c r="AG901" s="1272"/>
      <c r="AH901" s="1273"/>
      <c r="AZ901" s="34"/>
      <c r="BA901" s="34"/>
      <c r="BB901" s="34"/>
      <c r="BC901" s="34"/>
    </row>
    <row r="902" spans="1:58" ht="12.95" customHeight="1">
      <c r="C902" s="45"/>
      <c r="D902" s="5"/>
      <c r="E902" s="5"/>
      <c r="F902" s="5"/>
      <c r="G902" s="5"/>
      <c r="H902" s="5"/>
      <c r="I902" s="5"/>
      <c r="J902" s="5"/>
      <c r="K902" s="5"/>
      <c r="L902" s="5"/>
      <c r="M902" s="5"/>
      <c r="N902" s="5"/>
      <c r="O902" s="5"/>
      <c r="P902" s="5"/>
      <c r="Q902" s="5"/>
      <c r="R902" s="5"/>
      <c r="S902" s="5"/>
      <c r="T902" s="5"/>
      <c r="U902" s="5"/>
      <c r="V902" s="5"/>
      <c r="W902" s="5"/>
      <c r="X902" s="5"/>
      <c r="Y902" s="5"/>
      <c r="Z902" s="5"/>
      <c r="AA902" s="5"/>
      <c r="AB902" s="54" t="s">
        <v>1646</v>
      </c>
      <c r="AC902" s="1272"/>
      <c r="AD902" s="1272"/>
      <c r="AE902" s="1272"/>
      <c r="AF902" s="1272"/>
      <c r="AG902" s="1272"/>
      <c r="AH902" s="1273"/>
      <c r="AZ902" s="34"/>
      <c r="BA902" s="34"/>
      <c r="BB902" s="34"/>
      <c r="BC902" s="34"/>
    </row>
    <row r="903" spans="1:58" ht="12.95" customHeight="1">
      <c r="C903" s="1627" t="s">
        <v>956</v>
      </c>
      <c r="D903" s="1628"/>
      <c r="E903" s="1628"/>
      <c r="F903" s="1628"/>
      <c r="G903" s="1628"/>
      <c r="H903" s="1628"/>
      <c r="I903" s="1628"/>
      <c r="J903" s="1628"/>
      <c r="K903" s="1628"/>
      <c r="L903" s="1628"/>
      <c r="M903" s="1628"/>
      <c r="N903" s="1628"/>
      <c r="O903" s="1628"/>
      <c r="P903" s="1628"/>
      <c r="Q903" s="1628"/>
      <c r="R903" s="1628"/>
      <c r="S903" s="1628"/>
      <c r="T903" s="1628"/>
      <c r="U903" s="1628"/>
      <c r="V903" s="1628"/>
      <c r="W903" s="1628"/>
      <c r="X903" s="1628"/>
      <c r="Y903" s="1628"/>
      <c r="Z903" s="1628"/>
      <c r="AA903" s="1628"/>
      <c r="AB903" s="1629"/>
      <c r="AC903" s="1567"/>
      <c r="AD903" s="1567"/>
      <c r="AE903" s="1567"/>
      <c r="AF903" s="1567"/>
      <c r="AG903" s="1567"/>
      <c r="AH903" s="1567"/>
      <c r="AZ903" s="34"/>
      <c r="BA903" s="34"/>
      <c r="BB903" s="34"/>
      <c r="BC903" s="34"/>
    </row>
    <row r="904" spans="1:58" ht="12.95" customHeight="1">
      <c r="C904" s="1627" t="s">
        <v>956</v>
      </c>
      <c r="D904" s="1628"/>
      <c r="E904" s="1628"/>
      <c r="F904" s="1628"/>
      <c r="G904" s="1628"/>
      <c r="H904" s="1628"/>
      <c r="I904" s="1628"/>
      <c r="J904" s="1628"/>
      <c r="K904" s="1628"/>
      <c r="L904" s="1628"/>
      <c r="M904" s="1628"/>
      <c r="N904" s="1628"/>
      <c r="O904" s="1628"/>
      <c r="P904" s="1628"/>
      <c r="Q904" s="1628"/>
      <c r="R904" s="1628"/>
      <c r="S904" s="1628"/>
      <c r="T904" s="1628"/>
      <c r="U904" s="1628"/>
      <c r="V904" s="1628"/>
      <c r="W904" s="1628"/>
      <c r="X904" s="1628"/>
      <c r="Y904" s="1628"/>
      <c r="Z904" s="1628"/>
      <c r="AA904" s="1628"/>
      <c r="AB904" s="1629"/>
      <c r="AC904" s="1567"/>
      <c r="AD904" s="1567"/>
      <c r="AE904" s="1567"/>
      <c r="AF904" s="1567"/>
      <c r="AG904" s="1567"/>
      <c r="AH904" s="1567"/>
      <c r="AU904" s="95"/>
      <c r="AZ904" s="34"/>
      <c r="BA904" s="34"/>
      <c r="BB904" s="34"/>
      <c r="BC904" s="34"/>
    </row>
    <row r="905" spans="1:58" ht="12.95" customHeight="1">
      <c r="E905" s="512"/>
      <c r="AB905" s="56"/>
      <c r="AC905" s="123"/>
      <c r="AD905" s="123"/>
      <c r="AE905" s="123"/>
      <c r="AF905" s="123"/>
      <c r="AG905" s="123"/>
      <c r="AH905" s="123"/>
      <c r="AU905" s="95"/>
      <c r="AZ905" s="34"/>
      <c r="BA905" s="34"/>
      <c r="BB905" s="34"/>
      <c r="BC905" s="34"/>
    </row>
    <row r="906" spans="1:58" ht="12.95" customHeight="1">
      <c r="A906" s="2" t="s">
        <v>613</v>
      </c>
      <c r="C906" s="2" t="s">
        <v>237</v>
      </c>
      <c r="X906" s="12"/>
      <c r="Y906" s="12"/>
      <c r="Z906" s="12"/>
      <c r="AA906" s="12"/>
      <c r="AB906" s="12"/>
      <c r="AC906" s="12"/>
      <c r="AD906" s="12"/>
      <c r="AU906" s="95"/>
      <c r="AZ906" s="34"/>
      <c r="BB906" s="30"/>
      <c r="BC906" s="30"/>
    </row>
    <row r="907" spans="1:58" ht="12.95" customHeight="1">
      <c r="X907" s="12"/>
      <c r="Y907" s="12"/>
      <c r="Z907" s="12"/>
      <c r="AA907" s="12"/>
      <c r="AB907" s="12"/>
      <c r="AC907" s="12"/>
      <c r="AD907" s="12"/>
      <c r="AF907" s="533"/>
      <c r="AG907" s="180"/>
      <c r="AH907" s="180"/>
      <c r="AI907" s="180"/>
      <c r="AU907" s="95"/>
      <c r="AZ907" s="34"/>
      <c r="BB907" s="30"/>
      <c r="BC907" s="30"/>
      <c r="BD907" s="14"/>
      <c r="BE907" s="14"/>
      <c r="BF907" s="14"/>
    </row>
    <row r="908" spans="1:58" ht="12.95" customHeight="1">
      <c r="B908" s="2"/>
      <c r="H908" s="121" t="s">
        <v>238</v>
      </c>
      <c r="I908" s="5"/>
      <c r="J908" s="5"/>
      <c r="K908" s="5"/>
      <c r="L908" s="5"/>
      <c r="M908" s="5"/>
      <c r="N908" s="5"/>
      <c r="O908" s="5"/>
      <c r="P908" s="5"/>
      <c r="Q908" s="5"/>
      <c r="R908" s="5"/>
      <c r="S908" s="5"/>
      <c r="T908" s="5"/>
      <c r="U908" s="5"/>
      <c r="V908" s="5"/>
      <c r="W908" s="5"/>
      <c r="X908" s="5"/>
      <c r="Y908" s="46"/>
      <c r="Z908" s="1420"/>
      <c r="AA908" s="1272"/>
      <c r="AB908" s="1272"/>
      <c r="AC908" s="1272"/>
      <c r="AD908" s="1272"/>
      <c r="AE908" s="1273"/>
      <c r="AF908" s="533"/>
      <c r="AZ908" s="34"/>
      <c r="BB908" s="30"/>
      <c r="BC908" s="812"/>
      <c r="BD908" s="1576"/>
      <c r="BE908" s="1576"/>
      <c r="BF908" s="14"/>
    </row>
    <row r="909" spans="1:58" ht="12.95" customHeight="1">
      <c r="H909" s="121" t="s">
        <v>239</v>
      </c>
      <c r="I909" s="5"/>
      <c r="J909" s="5"/>
      <c r="K909" s="5"/>
      <c r="L909" s="5"/>
      <c r="M909" s="5"/>
      <c r="N909" s="5"/>
      <c r="O909" s="5"/>
      <c r="P909" s="5"/>
      <c r="Q909" s="5"/>
      <c r="R909" s="5"/>
      <c r="S909" s="5"/>
      <c r="T909" s="5"/>
      <c r="U909" s="5"/>
      <c r="V909" s="5"/>
      <c r="W909" s="5"/>
      <c r="X909" s="5"/>
      <c r="Y909" s="5"/>
      <c r="Z909" s="1420"/>
      <c r="AA909" s="1272"/>
      <c r="AB909" s="1272"/>
      <c r="AC909" s="1272"/>
      <c r="AD909" s="1272"/>
      <c r="AE909" s="1273"/>
      <c r="AZ909" s="34"/>
      <c r="BB909" s="30"/>
      <c r="BC909" s="812"/>
      <c r="BD909" s="1576"/>
      <c r="BE909" s="1576"/>
      <c r="BF909" s="14"/>
    </row>
    <row r="910" spans="1:58" ht="12.95" customHeight="1">
      <c r="H910" s="121" t="s">
        <v>240</v>
      </c>
      <c r="I910" s="5"/>
      <c r="J910" s="5"/>
      <c r="K910" s="5"/>
      <c r="L910" s="5"/>
      <c r="M910" s="5"/>
      <c r="N910" s="5"/>
      <c r="O910" s="5"/>
      <c r="P910" s="5"/>
      <c r="Q910" s="5"/>
      <c r="R910" s="5"/>
      <c r="S910" s="5"/>
      <c r="T910" s="5"/>
      <c r="U910" s="5"/>
      <c r="V910" s="5"/>
      <c r="W910" s="5"/>
      <c r="X910" s="5"/>
      <c r="Y910" s="5"/>
      <c r="Z910" s="1420"/>
      <c r="AA910" s="1272"/>
      <c r="AB910" s="1272"/>
      <c r="AC910" s="1272"/>
      <c r="AD910" s="1272"/>
      <c r="AE910" s="1273"/>
      <c r="AZ910" s="34"/>
      <c r="BB910" s="30"/>
      <c r="BC910" s="812"/>
      <c r="BD910" s="1577"/>
      <c r="BE910" s="1577"/>
      <c r="BF910" s="14"/>
    </row>
    <row r="911" spans="1:58" ht="12.95" customHeight="1">
      <c r="H911" s="45"/>
      <c r="I911" s="5"/>
      <c r="J911" s="5"/>
      <c r="K911" s="5"/>
      <c r="L911" s="5"/>
      <c r="M911" s="5"/>
      <c r="N911" s="5"/>
      <c r="O911" s="5"/>
      <c r="P911" s="5"/>
      <c r="Q911" s="5"/>
      <c r="R911" s="5"/>
      <c r="S911" s="5"/>
      <c r="T911" s="5"/>
      <c r="U911" s="5"/>
      <c r="V911" s="5"/>
      <c r="W911" s="5"/>
      <c r="X911" s="5"/>
      <c r="Y911" s="181" t="s">
        <v>241</v>
      </c>
      <c r="Z911" s="1417">
        <f>Z908-(Z909+Z910)</f>
        <v>0</v>
      </c>
      <c r="AA911" s="1418"/>
      <c r="AB911" s="1418"/>
      <c r="AC911" s="1418"/>
      <c r="AD911" s="1418"/>
      <c r="AE911" s="1419"/>
      <c r="AZ911" s="34"/>
      <c r="BB911" s="30"/>
      <c r="BC911" s="812"/>
      <c r="BD911" s="1577"/>
      <c r="BE911" s="1577"/>
      <c r="BF911" s="14"/>
    </row>
    <row r="912" spans="1:58" ht="12.95" customHeight="1">
      <c r="C912" s="512"/>
      <c r="D912" s="6"/>
      <c r="E912" s="180"/>
      <c r="F912" s="180"/>
      <c r="G912" s="180"/>
      <c r="H912" s="4"/>
      <c r="I912" s="4"/>
      <c r="J912" s="4"/>
      <c r="K912" s="4"/>
      <c r="L912" s="4"/>
      <c r="M912" s="4"/>
      <c r="N912" s="4"/>
      <c r="O912" s="4"/>
      <c r="P912" s="4"/>
      <c r="Q912" s="4"/>
      <c r="R912" s="4"/>
      <c r="S912" s="4"/>
      <c r="T912" s="4"/>
      <c r="U912" s="4"/>
      <c r="V912" s="4"/>
      <c r="W912" s="4"/>
      <c r="X912" s="4"/>
      <c r="Y912" s="4"/>
      <c r="Z912" s="4"/>
      <c r="AA912" s="4"/>
      <c r="AB912" s="4"/>
      <c r="AC912" s="4"/>
      <c r="AD912" s="4"/>
      <c r="AE912" s="4"/>
      <c r="AF912" s="180"/>
      <c r="AZ912" s="34"/>
      <c r="BB912" s="30"/>
      <c r="BC912" s="812"/>
      <c r="BD912" s="1577"/>
      <c r="BE912" s="1577"/>
      <c r="BF912" s="14"/>
    </row>
    <row r="913" spans="1:58" ht="12.95" customHeight="1">
      <c r="C913" t="s">
        <v>245</v>
      </c>
      <c r="D913" s="164"/>
      <c r="E913" s="180"/>
      <c r="F913" s="180"/>
      <c r="G913" s="180"/>
      <c r="H913" s="4"/>
      <c r="I913" s="4"/>
      <c r="J913" s="4"/>
      <c r="K913" s="4"/>
      <c r="L913" s="4"/>
      <c r="M913" s="4"/>
      <c r="N913" s="4"/>
      <c r="O913" s="4"/>
      <c r="P913" s="4"/>
      <c r="Q913" s="4"/>
      <c r="R913" s="4"/>
      <c r="S913" s="4"/>
      <c r="T913" s="4"/>
      <c r="U913" s="4"/>
      <c r="V913" s="4"/>
      <c r="W913" s="4"/>
      <c r="X913" s="4"/>
      <c r="Y913" s="4"/>
      <c r="Z913" s="4"/>
      <c r="AA913" s="4"/>
      <c r="AB913" s="4"/>
      <c r="AC913" s="4"/>
      <c r="AD913" s="4"/>
      <c r="AE913" s="4"/>
      <c r="AF913" s="180"/>
      <c r="AZ913" s="34"/>
      <c r="BB913" s="30"/>
      <c r="BC913" s="812"/>
      <c r="BD913" s="1576"/>
      <c r="BE913" s="1577"/>
      <c r="BF913" s="14"/>
    </row>
    <row r="914" spans="1:58" ht="12.95" customHeight="1">
      <c r="C914" s="182" t="s">
        <v>246</v>
      </c>
      <c r="D914" s="164"/>
      <c r="E914" s="180"/>
      <c r="F914" s="180"/>
      <c r="G914" s="180"/>
      <c r="H914" s="4"/>
      <c r="I914" s="4"/>
      <c r="J914" s="4"/>
      <c r="K914" s="4"/>
      <c r="L914" s="4"/>
      <c r="M914" s="4"/>
      <c r="N914" s="4"/>
      <c r="O914" s="4"/>
      <c r="P914" s="4"/>
      <c r="Q914" s="4"/>
      <c r="R914" s="4"/>
      <c r="S914" s="4"/>
      <c r="T914" s="4"/>
      <c r="U914" s="4"/>
      <c r="V914" s="4"/>
      <c r="W914" s="4"/>
      <c r="X914" s="4"/>
      <c r="Y914" s="4"/>
      <c r="Z914" s="4"/>
      <c r="AA914" s="4"/>
      <c r="AB914" s="4"/>
      <c r="AC914" s="4"/>
      <c r="AD914" s="4"/>
      <c r="AE914" s="4"/>
      <c r="AF914" s="180"/>
      <c r="AV914" s="95"/>
      <c r="AW914" s="95"/>
      <c r="AX914" s="95"/>
      <c r="AY914" s="95"/>
      <c r="AZ914" s="34"/>
      <c r="BB914" s="30"/>
      <c r="BC914" s="812"/>
      <c r="BD914" s="1579"/>
      <c r="BE914" s="1579"/>
      <c r="BF914" s="1579"/>
    </row>
    <row r="915" spans="1:58" ht="12.95" customHeight="1">
      <c r="C915" s="182" t="s">
        <v>247</v>
      </c>
      <c r="D915" s="164"/>
      <c r="E915" s="180"/>
      <c r="F915" s="180"/>
      <c r="G915" s="180"/>
      <c r="H915" s="4"/>
      <c r="I915" s="4"/>
      <c r="J915" s="4"/>
      <c r="K915" s="4"/>
      <c r="L915" s="4"/>
      <c r="M915" s="4"/>
      <c r="N915" s="4"/>
      <c r="O915" s="4"/>
      <c r="P915" s="4"/>
      <c r="Q915" s="4"/>
      <c r="R915" s="4"/>
      <c r="S915" s="4"/>
      <c r="T915" s="4"/>
      <c r="U915" s="4"/>
      <c r="V915" s="4"/>
      <c r="W915" s="4"/>
      <c r="X915" s="4"/>
      <c r="Y915" s="4"/>
      <c r="Z915" s="4"/>
      <c r="AA915" s="4"/>
      <c r="AB915" s="4"/>
      <c r="AC915" s="4"/>
      <c r="AD915" s="4"/>
      <c r="AE915" s="4"/>
      <c r="AF915" s="180"/>
      <c r="AV915" s="95"/>
      <c r="AW915" s="95"/>
      <c r="AX915" s="95"/>
      <c r="AY915" s="95"/>
      <c r="AZ915" s="34"/>
      <c r="BB915" s="30"/>
      <c r="BC915" s="812"/>
      <c r="BD915" s="1578"/>
      <c r="BE915" s="1578"/>
      <c r="BF915" s="1578"/>
    </row>
    <row r="916" spans="1:58" ht="12.95" customHeight="1">
      <c r="C916" s="340" t="s">
        <v>1013</v>
      </c>
      <c r="D916" s="164"/>
      <c r="E916" s="180"/>
      <c r="F916" s="180"/>
      <c r="G916" s="180"/>
      <c r="H916" s="4"/>
      <c r="I916" s="4"/>
      <c r="J916" s="4"/>
      <c r="K916" s="4"/>
      <c r="L916" s="4"/>
      <c r="M916" s="4"/>
      <c r="N916" s="4"/>
      <c r="O916" s="4"/>
      <c r="P916" s="4"/>
      <c r="Q916" s="4"/>
      <c r="R916" s="4"/>
      <c r="S916" s="4"/>
      <c r="T916" s="4"/>
      <c r="U916" s="4"/>
      <c r="V916" s="4"/>
      <c r="W916" s="4"/>
      <c r="X916" s="4"/>
      <c r="Y916" s="4"/>
      <c r="Z916" s="4"/>
      <c r="AA916" s="4"/>
      <c r="AB916" s="4"/>
      <c r="AC916" s="4"/>
      <c r="AD916" s="4"/>
      <c r="AE916" s="4"/>
      <c r="AF916" s="180"/>
      <c r="AV916" s="95"/>
      <c r="AW916" s="95"/>
      <c r="AX916" s="95"/>
      <c r="AY916" s="95"/>
      <c r="AZ916" s="34"/>
      <c r="BB916" s="30"/>
      <c r="BC916" s="812"/>
      <c r="BD916" s="1577"/>
      <c r="BE916" s="1577"/>
      <c r="BF916" s="14"/>
    </row>
    <row r="917" spans="1:58" ht="12.95" customHeight="1">
      <c r="D917" s="164"/>
      <c r="E917" s="40"/>
      <c r="F917" s="40"/>
      <c r="G917" s="40"/>
      <c r="H917" s="40"/>
      <c r="I917" s="40"/>
      <c r="J917" s="40"/>
      <c r="K917" s="40"/>
      <c r="L917" s="40"/>
      <c r="M917" s="40"/>
      <c r="N917" s="40"/>
      <c r="O917" s="40"/>
      <c r="P917" s="40"/>
      <c r="Q917" s="40"/>
      <c r="R917" s="40"/>
      <c r="S917" s="40"/>
      <c r="T917" s="40"/>
      <c r="U917" s="40"/>
      <c r="V917" s="40"/>
      <c r="W917" s="40"/>
      <c r="X917" s="40"/>
      <c r="Y917" s="40"/>
      <c r="Z917" s="40"/>
      <c r="AA917" s="40"/>
      <c r="AB917" s="40"/>
      <c r="AC917" s="40"/>
      <c r="AD917" s="40"/>
      <c r="AE917" s="40"/>
      <c r="AF917" s="40"/>
      <c r="AG917" s="40"/>
      <c r="AH917" s="40"/>
      <c r="AI917" s="40"/>
      <c r="AV917" s="95"/>
      <c r="AW917" s="95"/>
      <c r="AX917" s="95"/>
      <c r="AY917" s="95"/>
      <c r="AZ917" s="34"/>
      <c r="BB917" s="30"/>
      <c r="BC917" s="812"/>
      <c r="BD917" s="1576"/>
      <c r="BE917" s="1577"/>
      <c r="BF917" s="14"/>
    </row>
    <row r="918" spans="1:58" ht="12.95" customHeight="1">
      <c r="AZ918" s="34"/>
      <c r="BB918" s="30"/>
      <c r="BC918" s="812"/>
    </row>
    <row r="919" spans="1:58" ht="12.95" customHeight="1">
      <c r="A919" s="1457" t="s">
        <v>96</v>
      </c>
      <c r="B919" s="1457"/>
      <c r="C919" s="1457"/>
      <c r="D919" s="1457"/>
      <c r="E919" s="1457"/>
      <c r="F919" s="1457"/>
      <c r="G919" s="1457"/>
      <c r="H919" s="1457"/>
      <c r="I919" s="1457"/>
      <c r="J919" s="1457"/>
      <c r="K919" s="1457"/>
      <c r="L919" s="1457"/>
      <c r="M919" s="1457"/>
      <c r="N919" s="1457"/>
      <c r="O919" s="1457"/>
      <c r="P919" s="1457"/>
      <c r="Q919" s="1457"/>
      <c r="R919" s="1457"/>
      <c r="S919" s="1457"/>
      <c r="T919" s="1457"/>
      <c r="U919" s="1457"/>
      <c r="V919" s="1457"/>
      <c r="W919" s="1457"/>
      <c r="X919" s="1457"/>
      <c r="Y919" s="1457"/>
      <c r="Z919" s="1457"/>
      <c r="AA919" s="1457"/>
      <c r="AB919" s="1457"/>
      <c r="AC919" s="1457"/>
      <c r="AD919" s="1457"/>
      <c r="AE919" s="1457"/>
      <c r="AF919" s="1457"/>
      <c r="AG919" s="1457"/>
      <c r="AH919" s="1457"/>
      <c r="AI919" s="1457"/>
      <c r="AJ919" s="1457"/>
      <c r="AK919" s="1457"/>
      <c r="AL919" s="1457"/>
      <c r="AM919" s="1457"/>
      <c r="AN919" s="1457"/>
      <c r="AO919" s="1457"/>
      <c r="AP919" s="1457"/>
      <c r="AQ919" s="1457"/>
      <c r="AR919" s="1457"/>
      <c r="AS919" s="1457"/>
      <c r="AT919" s="1457"/>
      <c r="AZ919" s="34"/>
      <c r="BA919" s="34"/>
      <c r="BB919" s="30"/>
      <c r="BC919" s="30"/>
      <c r="BD919" s="1576"/>
      <c r="BE919" s="1577"/>
      <c r="BF919" s="907"/>
    </row>
    <row r="920" spans="1:58" ht="12.95" customHeight="1">
      <c r="A920" s="1457"/>
      <c r="B920" s="1457"/>
      <c r="C920" s="1457"/>
      <c r="D920" s="1457"/>
      <c r="E920" s="1457"/>
      <c r="F920" s="1457"/>
      <c r="G920" s="1457"/>
      <c r="H920" s="1457"/>
      <c r="I920" s="1457"/>
      <c r="J920" s="1457"/>
      <c r="K920" s="1457"/>
      <c r="L920" s="1457"/>
      <c r="M920" s="1457"/>
      <c r="N920" s="1457"/>
      <c r="O920" s="1457"/>
      <c r="P920" s="1457"/>
      <c r="Q920" s="1457"/>
      <c r="R920" s="1457"/>
      <c r="S920" s="1457"/>
      <c r="T920" s="1457"/>
      <c r="U920" s="1457"/>
      <c r="V920" s="1457"/>
      <c r="W920" s="1457"/>
      <c r="X920" s="1457"/>
      <c r="Y920" s="1457"/>
      <c r="Z920" s="1457"/>
      <c r="AA920" s="1457"/>
      <c r="AB920" s="1457"/>
      <c r="AC920" s="1457"/>
      <c r="AD920" s="1457"/>
      <c r="AE920" s="1457"/>
      <c r="AF920" s="1457"/>
      <c r="AG920" s="1457"/>
      <c r="AH920" s="1457"/>
      <c r="AI920" s="1457"/>
      <c r="AJ920" s="1457"/>
      <c r="AK920" s="1457"/>
      <c r="AL920" s="1457"/>
      <c r="AM920" s="1457"/>
      <c r="AN920" s="1457"/>
      <c r="AO920" s="1457"/>
      <c r="AP920" s="1457"/>
      <c r="AQ920" s="1457"/>
      <c r="AR920" s="1457"/>
      <c r="AS920" s="1457"/>
      <c r="AT920" s="1457"/>
      <c r="AZ920" s="34"/>
      <c r="BA920" s="34"/>
      <c r="BB920" s="34"/>
      <c r="BC920" s="34"/>
      <c r="BD920" s="34"/>
      <c r="BE920" s="34"/>
      <c r="BF920" s="34"/>
    </row>
    <row r="921" spans="1:58" ht="12.95" customHeight="1">
      <c r="D921" s="95"/>
      <c r="E921" s="95"/>
      <c r="F921" s="95"/>
      <c r="G921" s="95"/>
      <c r="H921" s="95"/>
      <c r="I921" s="95"/>
      <c r="J921" s="95"/>
      <c r="K921" s="95"/>
      <c r="L921" s="95"/>
      <c r="M921" s="95"/>
      <c r="N921" s="95"/>
      <c r="O921" s="95"/>
      <c r="P921" s="95"/>
      <c r="Q921" s="95"/>
      <c r="R921" s="95"/>
      <c r="S921" s="95"/>
      <c r="T921" s="95"/>
      <c r="U921" s="95"/>
      <c r="V921" s="95"/>
      <c r="W921" s="95"/>
      <c r="X921" s="95"/>
      <c r="Y921" s="95"/>
      <c r="Z921" s="95"/>
      <c r="AA921" s="95"/>
      <c r="AB921" s="95"/>
      <c r="AC921" s="95"/>
      <c r="AD921" s="95"/>
      <c r="AE921" s="95"/>
      <c r="AF921" s="95"/>
      <c r="AG921" s="95"/>
      <c r="AH921" s="95"/>
      <c r="AI921" s="95"/>
      <c r="AJ921" s="95"/>
      <c r="AK921" s="95"/>
      <c r="AL921" s="95"/>
      <c r="AM921" s="95"/>
      <c r="AN921" s="95"/>
      <c r="AO921" s="95"/>
      <c r="AP921" s="95"/>
      <c r="AQ921" s="95"/>
      <c r="AR921" s="95"/>
      <c r="AS921" s="95"/>
      <c r="AT921" s="95"/>
      <c r="AZ921" s="34"/>
      <c r="BA921" s="34"/>
      <c r="BB921" s="34"/>
      <c r="BC921" s="34"/>
      <c r="BD921" s="34"/>
      <c r="BE921" s="34"/>
      <c r="BF921" s="34"/>
    </row>
    <row r="922" spans="1:58" ht="12.95" customHeight="1">
      <c r="A922" s="2" t="s">
        <v>319</v>
      </c>
      <c r="C922" s="2" t="s">
        <v>264</v>
      </c>
      <c r="D922" s="95"/>
      <c r="E922" s="95"/>
      <c r="F922" s="95"/>
      <c r="G922" s="95"/>
      <c r="H922" s="95"/>
      <c r="I922" s="95"/>
      <c r="J922" s="95"/>
      <c r="K922" s="95"/>
      <c r="L922" s="95"/>
      <c r="M922" s="95"/>
      <c r="N922" s="95"/>
      <c r="O922" s="95"/>
      <c r="P922" s="95"/>
      <c r="Q922" s="95"/>
      <c r="R922" s="95"/>
      <c r="S922" s="95"/>
      <c r="T922" s="95"/>
      <c r="U922" s="95"/>
      <c r="V922" s="95"/>
      <c r="W922" s="95"/>
      <c r="X922" s="95"/>
      <c r="Y922" s="95"/>
      <c r="Z922" s="95"/>
      <c r="AA922" s="95"/>
      <c r="AB922" s="95"/>
      <c r="AC922" s="95"/>
      <c r="AD922" s="95"/>
      <c r="AE922" s="95"/>
      <c r="AF922" s="95"/>
      <c r="AG922" s="95"/>
      <c r="AH922" s="95"/>
      <c r="AI922" s="95"/>
      <c r="AJ922" s="95"/>
      <c r="AK922" s="95"/>
      <c r="AL922" s="95"/>
      <c r="AM922" s="95"/>
      <c r="AN922" s="95"/>
      <c r="AO922" s="95"/>
      <c r="AP922" s="95"/>
      <c r="AQ922" s="95"/>
      <c r="AR922" s="95"/>
      <c r="AS922" s="95"/>
      <c r="AT922" s="95"/>
      <c r="AZ922" s="34"/>
      <c r="BB922" s="34"/>
      <c r="BC922" s="34"/>
      <c r="BD922" s="34"/>
      <c r="BE922" s="34"/>
      <c r="BF922" s="34"/>
    </row>
    <row r="923" spans="1:58" ht="12.95" customHeight="1">
      <c r="AZ923" s="34"/>
      <c r="BA923" s="34"/>
      <c r="BB923" s="34"/>
      <c r="BC923" s="34"/>
    </row>
    <row r="924" spans="1:58" ht="12.95" customHeight="1">
      <c r="F924" s="1564" t="s">
        <v>792</v>
      </c>
      <c r="G924" s="1565"/>
      <c r="H924" s="1565"/>
      <c r="I924" s="1565"/>
      <c r="J924" s="1565"/>
      <c r="K924" s="1565"/>
      <c r="L924" s="1565"/>
      <c r="M924" s="1565"/>
      <c r="N924" s="1565"/>
      <c r="O924" s="1565"/>
      <c r="P924" s="1565"/>
      <c r="Q924" s="1565"/>
      <c r="R924" s="1565"/>
      <c r="S924" s="1565"/>
      <c r="T924" s="1566"/>
      <c r="U924" s="1707" t="s">
        <v>31</v>
      </c>
      <c r="V924" s="1630"/>
      <c r="W924" s="1630"/>
      <c r="X924" s="1630"/>
      <c r="Y924" s="1630"/>
      <c r="Z924" s="1630"/>
      <c r="AA924" s="43"/>
      <c r="AB924" s="105"/>
      <c r="AC924" s="105"/>
      <c r="AD924" s="105"/>
      <c r="AE924" s="105"/>
      <c r="AF924" s="106"/>
      <c r="AZ924" s="34"/>
      <c r="BA924" s="34"/>
      <c r="BB924" s="34"/>
      <c r="BC924" s="34"/>
    </row>
    <row r="925" spans="1:58" ht="12.95" customHeight="1">
      <c r="B925" s="2"/>
      <c r="F925" s="1658" t="s">
        <v>818</v>
      </c>
      <c r="G925" s="1659"/>
      <c r="H925" s="1659"/>
      <c r="I925" s="1659"/>
      <c r="J925" s="1659"/>
      <c r="K925" s="1659"/>
      <c r="L925" s="1659"/>
      <c r="M925" s="1659"/>
      <c r="N925" s="1659"/>
      <c r="O925" s="1659"/>
      <c r="P925" s="1659"/>
      <c r="Q925" s="1659"/>
      <c r="R925" s="1659"/>
      <c r="S925" s="1659"/>
      <c r="T925" s="1660"/>
      <c r="U925" s="1658"/>
      <c r="V925" s="1659"/>
      <c r="W925" s="1659"/>
      <c r="X925" s="1659"/>
      <c r="Y925" s="1659"/>
      <c r="Z925" s="1659"/>
      <c r="AA925" s="44"/>
      <c r="AB925" s="4"/>
      <c r="AC925" s="4"/>
      <c r="AD925" s="4"/>
      <c r="AE925" s="4"/>
      <c r="AF925" s="107"/>
      <c r="AZ925" s="34"/>
      <c r="BA925" s="34"/>
      <c r="BB925" s="34"/>
      <c r="BC925" s="34"/>
    </row>
    <row r="926" spans="1:58" ht="12.95" customHeight="1">
      <c r="B926" s="2"/>
      <c r="F926" s="1661"/>
      <c r="G926" s="1632"/>
      <c r="H926" s="1632"/>
      <c r="I926" s="1632"/>
      <c r="J926" s="1632"/>
      <c r="K926" s="1632"/>
      <c r="L926" s="1632"/>
      <c r="M926" s="1632"/>
      <c r="N926" s="1632"/>
      <c r="O926" s="1632"/>
      <c r="P926" s="1632"/>
      <c r="Q926" s="1632"/>
      <c r="R926" s="1632"/>
      <c r="S926" s="1632"/>
      <c r="T926" s="1633"/>
      <c r="U926" s="1661"/>
      <c r="V926" s="1632"/>
      <c r="W926" s="1632"/>
      <c r="X926" s="1632"/>
      <c r="Y926" s="1632"/>
      <c r="Z926" s="1632"/>
      <c r="AA926" s="108"/>
      <c r="AB926" s="1367" t="s">
        <v>391</v>
      </c>
      <c r="AC926" s="1367"/>
      <c r="AD926" s="1367"/>
      <c r="AE926" s="1367"/>
      <c r="AF926" s="109"/>
      <c r="AZ926" s="34"/>
      <c r="BA926" s="34"/>
      <c r="BB926" s="34"/>
      <c r="BC926" s="34"/>
    </row>
    <row r="927" spans="1:58" ht="12.95" customHeight="1">
      <c r="B927" s="2"/>
      <c r="F927" s="45" t="s">
        <v>758</v>
      </c>
      <c r="G927" s="48"/>
      <c r="H927" s="48"/>
      <c r="I927" s="48"/>
      <c r="J927" s="48"/>
      <c r="K927" s="48"/>
      <c r="L927" s="48"/>
      <c r="M927" s="48"/>
      <c r="N927" s="48"/>
      <c r="O927" s="48"/>
      <c r="P927" s="48"/>
      <c r="Q927" s="48"/>
      <c r="R927" s="48"/>
      <c r="S927" s="48"/>
      <c r="T927" s="49"/>
      <c r="U927" s="1558" t="s">
        <v>591</v>
      </c>
      <c r="V927" s="1333"/>
      <c r="W927" s="1333"/>
      <c r="X927" s="1333"/>
      <c r="Y927" s="1333"/>
      <c r="Z927" s="1334"/>
      <c r="AA927" s="1559">
        <f>AM562</f>
        <v>9740606</v>
      </c>
      <c r="AB927" s="1446"/>
      <c r="AC927" s="1446"/>
      <c r="AD927" s="1446"/>
      <c r="AE927" s="1446"/>
      <c r="AF927" s="1560"/>
      <c r="AG927" s="1191" t="str">
        <f>IF(NOT(AA927=AW927),"!","")</f>
        <v/>
      </c>
      <c r="AH927" s="3"/>
      <c r="AW927" s="1356">
        <f>SUMIF($M$562:$M$573,"Loan, Tax-Exempt",$AM$562:$AM$573)</f>
        <v>9740606</v>
      </c>
      <c r="AX927" s="1356"/>
      <c r="AY927" s="1356"/>
      <c r="AZ927" s="3" t="s">
        <v>2537</v>
      </c>
      <c r="BA927" s="34"/>
      <c r="BB927" s="34"/>
      <c r="BC927" s="34"/>
    </row>
    <row r="928" spans="1:58" ht="12.95" customHeight="1">
      <c r="B928" s="2"/>
      <c r="F928" s="66" t="s">
        <v>675</v>
      </c>
      <c r="G928" s="48"/>
      <c r="H928" s="48"/>
      <c r="I928" s="48"/>
      <c r="J928" s="48"/>
      <c r="K928" s="48"/>
      <c r="L928" s="48"/>
      <c r="M928" s="48"/>
      <c r="N928" s="48"/>
      <c r="O928" s="48"/>
      <c r="P928" s="48"/>
      <c r="Q928" s="48"/>
      <c r="R928" s="48"/>
      <c r="S928" s="48"/>
      <c r="T928" s="49"/>
      <c r="U928" s="1558" t="s">
        <v>591</v>
      </c>
      <c r="V928" s="1333"/>
      <c r="W928" s="1333"/>
      <c r="X928" s="1333"/>
      <c r="Y928" s="1333"/>
      <c r="Z928" s="1334"/>
      <c r="AA928" s="1559">
        <f>AM563</f>
        <v>16820895</v>
      </c>
      <c r="AB928" s="1446"/>
      <c r="AC928" s="1446"/>
      <c r="AD928" s="1446"/>
      <c r="AE928" s="1446"/>
      <c r="AF928" s="1560"/>
      <c r="AZ928" s="34"/>
      <c r="BA928" s="34"/>
      <c r="BB928" s="34"/>
      <c r="BC928" s="34"/>
    </row>
    <row r="929" spans="6:55" ht="12.95" customHeight="1">
      <c r="F929" s="45" t="s">
        <v>801</v>
      </c>
      <c r="G929" s="5"/>
      <c r="H929" s="5"/>
      <c r="I929" s="5"/>
      <c r="J929" s="5"/>
      <c r="K929" s="5"/>
      <c r="L929" s="5"/>
      <c r="M929" s="5"/>
      <c r="N929" s="5"/>
      <c r="O929" s="5"/>
      <c r="P929" s="5"/>
      <c r="Q929" s="5"/>
      <c r="R929" s="5"/>
      <c r="S929" s="5"/>
      <c r="T929" s="46"/>
      <c r="U929" s="1558" t="s">
        <v>591</v>
      </c>
      <c r="V929" s="1333"/>
      <c r="W929" s="1333"/>
      <c r="X929" s="1333"/>
      <c r="Y929" s="1333"/>
      <c r="Z929" s="1334"/>
      <c r="AA929" s="1559"/>
      <c r="AB929" s="1446"/>
      <c r="AC929" s="1446"/>
      <c r="AD929" s="1446"/>
      <c r="AE929" s="1446"/>
      <c r="AF929" s="1560"/>
      <c r="AZ929" s="34"/>
      <c r="BA929" s="34"/>
      <c r="BB929" s="34"/>
      <c r="BC929" s="34"/>
    </row>
    <row r="930" spans="6:55" ht="12.95" customHeight="1">
      <c r="F930" s="45" t="s">
        <v>678</v>
      </c>
      <c r="G930" s="5"/>
      <c r="H930" s="5"/>
      <c r="I930" s="5"/>
      <c r="J930" s="5"/>
      <c r="K930" s="5"/>
      <c r="L930" s="5"/>
      <c r="M930" s="5"/>
      <c r="N930" s="5"/>
      <c r="O930" s="5"/>
      <c r="P930" s="5"/>
      <c r="Q930" s="5"/>
      <c r="R930" s="5"/>
      <c r="S930" s="5"/>
      <c r="T930" s="46"/>
      <c r="U930" s="1558" t="s">
        <v>591</v>
      </c>
      <c r="V930" s="1333"/>
      <c r="W930" s="1333"/>
      <c r="X930" s="1333"/>
      <c r="Y930" s="1333"/>
      <c r="Z930" s="1334"/>
      <c r="AA930" s="1559"/>
      <c r="AB930" s="1446"/>
      <c r="AC930" s="1446"/>
      <c r="AD930" s="1446"/>
      <c r="AE930" s="1446"/>
      <c r="AF930" s="1560"/>
      <c r="AZ930" s="34"/>
      <c r="BA930" s="34"/>
      <c r="BB930" s="34"/>
      <c r="BC930" s="34"/>
    </row>
    <row r="931" spans="6:55" ht="12.95" customHeight="1">
      <c r="F931" s="66" t="s">
        <v>786</v>
      </c>
      <c r="G931" s="5"/>
      <c r="H931" s="5"/>
      <c r="I931" s="5"/>
      <c r="J931" s="5"/>
      <c r="K931" s="5"/>
      <c r="L931" s="5"/>
      <c r="M931" s="5"/>
      <c r="N931" s="5"/>
      <c r="O931" s="5"/>
      <c r="P931" s="5"/>
      <c r="Q931" s="5"/>
      <c r="R931" s="5"/>
      <c r="S931" s="5"/>
      <c r="T931" s="46"/>
      <c r="U931" s="1558" t="s">
        <v>591</v>
      </c>
      <c r="V931" s="1333"/>
      <c r="W931" s="1333"/>
      <c r="X931" s="1333"/>
      <c r="Y931" s="1333"/>
      <c r="Z931" s="1334"/>
      <c r="AA931" s="1559"/>
      <c r="AB931" s="1446"/>
      <c r="AC931" s="1446"/>
      <c r="AD931" s="1446"/>
      <c r="AE931" s="1446"/>
      <c r="AF931" s="1560"/>
      <c r="AZ931" s="34"/>
      <c r="BA931" s="34"/>
      <c r="BB931" s="34"/>
      <c r="BC931" s="34"/>
    </row>
    <row r="932" spans="6:55" ht="12.95" customHeight="1">
      <c r="F932" s="66" t="s">
        <v>787</v>
      </c>
      <c r="G932" s="5"/>
      <c r="H932" s="5"/>
      <c r="I932" s="5"/>
      <c r="J932" s="5"/>
      <c r="K932" s="5"/>
      <c r="L932" s="5"/>
      <c r="M932" s="5"/>
      <c r="N932" s="5"/>
      <c r="O932" s="5"/>
      <c r="P932" s="5"/>
      <c r="Q932" s="5"/>
      <c r="R932" s="5"/>
      <c r="S932" s="5"/>
      <c r="T932" s="46"/>
      <c r="U932" s="1558" t="s">
        <v>591</v>
      </c>
      <c r="V932" s="1333"/>
      <c r="W932" s="1333"/>
      <c r="X932" s="1333"/>
      <c r="Y932" s="1333"/>
      <c r="Z932" s="1334"/>
      <c r="AA932" s="1559"/>
      <c r="AB932" s="1446"/>
      <c r="AC932" s="1446"/>
      <c r="AD932" s="1446"/>
      <c r="AE932" s="1446"/>
      <c r="AF932" s="1560"/>
      <c r="AZ932" s="34"/>
      <c r="BA932" s="34"/>
      <c r="BB932" s="34"/>
      <c r="BC932" s="34"/>
    </row>
    <row r="933" spans="6:55" ht="12.95" customHeight="1">
      <c r="F933" s="66" t="s">
        <v>788</v>
      </c>
      <c r="G933" s="5"/>
      <c r="H933" s="5"/>
      <c r="I933" s="5"/>
      <c r="J933" s="5"/>
      <c r="K933" s="5"/>
      <c r="L933" s="5"/>
      <c r="M933" s="5"/>
      <c r="N933" s="5"/>
      <c r="O933" s="5"/>
      <c r="P933" s="5"/>
      <c r="Q933" s="5"/>
      <c r="R933" s="5"/>
      <c r="S933" s="5"/>
      <c r="T933" s="46"/>
      <c r="U933" s="1558" t="s">
        <v>591</v>
      </c>
      <c r="V933" s="1333"/>
      <c r="W933" s="1333"/>
      <c r="X933" s="1333"/>
      <c r="Y933" s="1333"/>
      <c r="Z933" s="1334"/>
      <c r="AA933" s="1559"/>
      <c r="AB933" s="1446"/>
      <c r="AC933" s="1446"/>
      <c r="AD933" s="1446"/>
      <c r="AE933" s="1446"/>
      <c r="AF933" s="1560"/>
      <c r="AZ933" s="34"/>
      <c r="BA933" s="34"/>
      <c r="BB933" s="34"/>
      <c r="BC933" s="34"/>
    </row>
    <row r="934" spans="6:55" ht="12.95" customHeight="1">
      <c r="F934" s="45" t="s">
        <v>677</v>
      </c>
      <c r="G934" s="5"/>
      <c r="H934" s="5"/>
      <c r="I934" s="5"/>
      <c r="J934" s="5"/>
      <c r="K934" s="5"/>
      <c r="L934" s="5"/>
      <c r="M934" s="5"/>
      <c r="N934" s="5"/>
      <c r="O934" s="5"/>
      <c r="P934" s="5"/>
      <c r="Q934" s="5"/>
      <c r="R934" s="5"/>
      <c r="S934" s="5"/>
      <c r="T934" s="46"/>
      <c r="U934" s="1558" t="s">
        <v>591</v>
      </c>
      <c r="V934" s="1333"/>
      <c r="W934" s="1333"/>
      <c r="X934" s="1333"/>
      <c r="Y934" s="1333"/>
      <c r="Z934" s="1334"/>
      <c r="AA934" s="1559"/>
      <c r="AB934" s="1446"/>
      <c r="AC934" s="1446"/>
      <c r="AD934" s="1446"/>
      <c r="AE934" s="1446"/>
      <c r="AF934" s="1560"/>
      <c r="AZ934" s="34"/>
      <c r="BA934" s="34"/>
      <c r="BB934" s="34"/>
      <c r="BC934" s="34"/>
    </row>
    <row r="935" spans="6:55" ht="12.95" customHeight="1">
      <c r="F935" s="1573" t="s">
        <v>2146</v>
      </c>
      <c r="G935" s="1574"/>
      <c r="H935" s="1574"/>
      <c r="I935" s="1574"/>
      <c r="J935" s="1574"/>
      <c r="K935" s="1574"/>
      <c r="L935" s="1574"/>
      <c r="M935" s="1574"/>
      <c r="N935" s="1574"/>
      <c r="O935" s="1574"/>
      <c r="P935" s="1574"/>
      <c r="Q935" s="1574"/>
      <c r="R935" s="1574"/>
      <c r="S935" s="1574"/>
      <c r="T935" s="1575"/>
      <c r="U935" s="1558" t="s">
        <v>591</v>
      </c>
      <c r="V935" s="1333"/>
      <c r="W935" s="1333"/>
      <c r="X935" s="1333"/>
      <c r="Y935" s="1333"/>
      <c r="Z935" s="1334"/>
      <c r="AA935" s="1559"/>
      <c r="AB935" s="1446"/>
      <c r="AC935" s="1446"/>
      <c r="AD935" s="1446"/>
      <c r="AE935" s="1446"/>
      <c r="AF935" s="1560"/>
      <c r="AZ935" s="34"/>
      <c r="BA935" s="34"/>
      <c r="BB935" s="34"/>
      <c r="BC935" s="34"/>
    </row>
    <row r="936" spans="6:55" ht="12.95" customHeight="1">
      <c r="F936" s="1573" t="s">
        <v>679</v>
      </c>
      <c r="G936" s="1574"/>
      <c r="H936" s="1574"/>
      <c r="I936" s="1574"/>
      <c r="J936" s="1574"/>
      <c r="K936" s="1574"/>
      <c r="L936" s="1574"/>
      <c r="M936" s="1574"/>
      <c r="N936" s="1574"/>
      <c r="O936" s="1574"/>
      <c r="P936" s="1574"/>
      <c r="Q936" s="1574"/>
      <c r="R936" s="1574"/>
      <c r="S936" s="1574"/>
      <c r="T936" s="1575"/>
      <c r="U936" s="1558" t="s">
        <v>591</v>
      </c>
      <c r="V936" s="1333"/>
      <c r="W936" s="1333"/>
      <c r="X936" s="1333"/>
      <c r="Y936" s="1333"/>
      <c r="Z936" s="1334"/>
      <c r="AA936" s="1559"/>
      <c r="AB936" s="1446"/>
      <c r="AC936" s="1446"/>
      <c r="AD936" s="1446"/>
      <c r="AE936" s="1446"/>
      <c r="AF936" s="1560"/>
      <c r="AU936" s="2"/>
      <c r="AZ936" s="34"/>
      <c r="BA936" s="34"/>
      <c r="BB936" s="34"/>
      <c r="BC936" s="34"/>
    </row>
    <row r="937" spans="6:55" ht="12.95" customHeight="1">
      <c r="F937" s="1573" t="s">
        <v>2147</v>
      </c>
      <c r="G937" s="1574"/>
      <c r="H937" s="1574"/>
      <c r="I937" s="1574"/>
      <c r="J937" s="1574"/>
      <c r="K937" s="1574"/>
      <c r="L937" s="1574"/>
      <c r="M937" s="1574"/>
      <c r="N937" s="1574"/>
      <c r="O937" s="1574"/>
      <c r="P937" s="1574"/>
      <c r="Q937" s="1574"/>
      <c r="R937" s="1574"/>
      <c r="S937" s="1574"/>
      <c r="T937" s="1575"/>
      <c r="U937" s="1558" t="s">
        <v>591</v>
      </c>
      <c r="V937" s="1333"/>
      <c r="W937" s="1333"/>
      <c r="X937" s="1333"/>
      <c r="Y937" s="1333"/>
      <c r="Z937" s="1334"/>
      <c r="AA937" s="1559"/>
      <c r="AB937" s="1446"/>
      <c r="AC937" s="1446"/>
      <c r="AD937" s="1446"/>
      <c r="AE937" s="1446"/>
      <c r="AF937" s="1560"/>
      <c r="AU937" s="2"/>
      <c r="AZ937" s="34"/>
      <c r="BA937" s="34"/>
      <c r="BB937" s="34"/>
      <c r="BC937" s="34"/>
    </row>
    <row r="938" spans="6:55" ht="12.95" customHeight="1">
      <c r="F938" s="1573" t="s">
        <v>2148</v>
      </c>
      <c r="G938" s="1574"/>
      <c r="H938" s="1574"/>
      <c r="I938" s="1574"/>
      <c r="J938" s="1574"/>
      <c r="K938" s="1574"/>
      <c r="L938" s="1574"/>
      <c r="M938" s="1574"/>
      <c r="N938" s="1574"/>
      <c r="O938" s="1574"/>
      <c r="P938" s="1574"/>
      <c r="Q938" s="1574"/>
      <c r="R938" s="1574"/>
      <c r="S938" s="1574"/>
      <c r="T938" s="1575"/>
      <c r="U938" s="1558" t="s">
        <v>591</v>
      </c>
      <c r="V938" s="1333"/>
      <c r="W938" s="1333"/>
      <c r="X938" s="1333"/>
      <c r="Y938" s="1333"/>
      <c r="Z938" s="1334"/>
      <c r="AA938" s="1559"/>
      <c r="AB938" s="1446"/>
      <c r="AC938" s="1446"/>
      <c r="AD938" s="1446"/>
      <c r="AE938" s="1446"/>
      <c r="AF938" s="1560"/>
      <c r="AU938" s="2"/>
      <c r="AZ938" s="34"/>
      <c r="BA938" s="34"/>
      <c r="BB938" s="34"/>
      <c r="BC938" s="34"/>
    </row>
    <row r="939" spans="6:55" ht="12.95" customHeight="1">
      <c r="F939" s="1573" t="s">
        <v>2149</v>
      </c>
      <c r="G939" s="1574"/>
      <c r="H939" s="1574"/>
      <c r="I939" s="1574"/>
      <c r="J939" s="1574"/>
      <c r="K939" s="1574"/>
      <c r="L939" s="1574"/>
      <c r="M939" s="1574"/>
      <c r="N939" s="1574"/>
      <c r="O939" s="1574"/>
      <c r="P939" s="1574"/>
      <c r="Q939" s="1574"/>
      <c r="R939" s="1574"/>
      <c r="S939" s="1574"/>
      <c r="T939" s="1575"/>
      <c r="U939" s="1558" t="s">
        <v>591</v>
      </c>
      <c r="V939" s="1333"/>
      <c r="W939" s="1333"/>
      <c r="X939" s="1333"/>
      <c r="Y939" s="1333"/>
      <c r="Z939" s="1334"/>
      <c r="AA939" s="1559"/>
      <c r="AB939" s="1446"/>
      <c r="AC939" s="1446"/>
      <c r="AD939" s="1446"/>
      <c r="AE939" s="1446"/>
      <c r="AF939" s="1560"/>
      <c r="AU939" s="2"/>
      <c r="AZ939" s="34"/>
      <c r="BA939" s="34"/>
      <c r="BB939" s="34"/>
      <c r="BC939" s="34"/>
    </row>
    <row r="940" spans="6:55" ht="12.95" customHeight="1">
      <c r="F940" s="1573" t="s">
        <v>2150</v>
      </c>
      <c r="G940" s="1574"/>
      <c r="H940" s="1574"/>
      <c r="I940" s="1574"/>
      <c r="J940" s="1574"/>
      <c r="K940" s="1574"/>
      <c r="L940" s="1574"/>
      <c r="M940" s="1574"/>
      <c r="N940" s="1574"/>
      <c r="O940" s="1574"/>
      <c r="P940" s="1574"/>
      <c r="Q940" s="1574"/>
      <c r="R940" s="1574"/>
      <c r="S940" s="1574"/>
      <c r="T940" s="1575"/>
      <c r="U940" s="1558" t="s">
        <v>591</v>
      </c>
      <c r="V940" s="1333"/>
      <c r="W940" s="1333"/>
      <c r="X940" s="1333"/>
      <c r="Y940" s="1333"/>
      <c r="Z940" s="1334"/>
      <c r="AA940" s="1559"/>
      <c r="AB940" s="1446"/>
      <c r="AC940" s="1446"/>
      <c r="AD940" s="1446"/>
      <c r="AE940" s="1446"/>
      <c r="AF940" s="1560"/>
      <c r="AU940" s="2"/>
      <c r="AZ940" s="34"/>
      <c r="BA940" s="34"/>
      <c r="BB940" s="34"/>
      <c r="BC940" s="34"/>
    </row>
    <row r="941" spans="6:55" ht="12.95" customHeight="1">
      <c r="F941" s="1573" t="s">
        <v>2151</v>
      </c>
      <c r="G941" s="1574"/>
      <c r="H941" s="1574"/>
      <c r="I941" s="1574"/>
      <c r="J941" s="1574"/>
      <c r="K941" s="1574"/>
      <c r="L941" s="1574"/>
      <c r="M941" s="1574"/>
      <c r="N941" s="1574"/>
      <c r="O941" s="1574"/>
      <c r="P941" s="1574"/>
      <c r="Q941" s="1574"/>
      <c r="R941" s="1574"/>
      <c r="S941" s="1574"/>
      <c r="T941" s="1575"/>
      <c r="U941" s="1558" t="s">
        <v>591</v>
      </c>
      <c r="V941" s="1333"/>
      <c r="W941" s="1333"/>
      <c r="X941" s="1333"/>
      <c r="Y941" s="1333"/>
      <c r="Z941" s="1334"/>
      <c r="AA941" s="1559"/>
      <c r="AB941" s="1446"/>
      <c r="AC941" s="1446"/>
      <c r="AD941" s="1446"/>
      <c r="AE941" s="1446"/>
      <c r="AF941" s="1560"/>
      <c r="AZ941" s="30"/>
      <c r="BA941" s="30"/>
    </row>
    <row r="942" spans="6:55" ht="12.95" customHeight="1">
      <c r="F942" s="178" t="s">
        <v>676</v>
      </c>
      <c r="G942" s="5"/>
      <c r="H942" s="5"/>
      <c r="I942" s="5"/>
      <c r="J942" s="5"/>
      <c r="K942" s="5"/>
      <c r="L942" s="5"/>
      <c r="M942" s="5"/>
      <c r="N942" s="5"/>
      <c r="O942" s="5"/>
      <c r="P942" s="5"/>
      <c r="Q942" s="5"/>
      <c r="R942" s="5"/>
      <c r="S942" s="5"/>
      <c r="T942" s="46"/>
      <c r="U942" s="1558" t="s">
        <v>591</v>
      </c>
      <c r="V942" s="1333"/>
      <c r="W942" s="1333"/>
      <c r="X942" s="1333"/>
      <c r="Y942" s="1333"/>
      <c r="Z942" s="1334"/>
      <c r="AA942" s="1559"/>
      <c r="AB942" s="1446"/>
      <c r="AC942" s="1446"/>
      <c r="AD942" s="1446"/>
      <c r="AE942" s="1446"/>
      <c r="AF942" s="1560"/>
    </row>
    <row r="943" spans="6:55" ht="12.95" customHeight="1">
      <c r="F943" s="121" t="s">
        <v>1277</v>
      </c>
      <c r="G943" s="5"/>
      <c r="H943" s="5"/>
      <c r="I943" s="5"/>
      <c r="J943" s="5"/>
      <c r="K943" s="5"/>
      <c r="L943" s="5"/>
      <c r="M943" s="5"/>
      <c r="N943" s="5"/>
      <c r="O943" s="5"/>
      <c r="P943" s="5"/>
      <c r="Q943" s="5"/>
      <c r="R943" s="5"/>
      <c r="S943" s="5"/>
      <c r="T943" s="46"/>
      <c r="U943" s="1558" t="s">
        <v>591</v>
      </c>
      <c r="V943" s="1333"/>
      <c r="W943" s="1333"/>
      <c r="X943" s="1333"/>
      <c r="Y943" s="1333"/>
      <c r="Z943" s="1334"/>
      <c r="AA943" s="1559"/>
      <c r="AB943" s="1446"/>
      <c r="AC943" s="1446"/>
      <c r="AD943" s="1446"/>
      <c r="AE943" s="1446"/>
      <c r="AF943" s="1560"/>
      <c r="AZ943" s="30"/>
      <c r="BA943" s="14"/>
    </row>
    <row r="944" spans="6:55" ht="12.95" customHeight="1">
      <c r="F944" s="66" t="s">
        <v>802</v>
      </c>
      <c r="G944" s="5"/>
      <c r="H944" s="5"/>
      <c r="I944" s="5"/>
      <c r="J944" s="5"/>
      <c r="K944" s="5"/>
      <c r="L944" s="5"/>
      <c r="M944" s="5"/>
      <c r="N944" s="5"/>
      <c r="O944" s="5"/>
      <c r="P944" s="5"/>
      <c r="Q944" s="5"/>
      <c r="R944" s="5"/>
      <c r="S944" s="5"/>
      <c r="T944" s="46"/>
      <c r="U944" s="1558" t="s">
        <v>591</v>
      </c>
      <c r="V944" s="1333"/>
      <c r="W944" s="1333"/>
      <c r="X944" s="1333"/>
      <c r="Y944" s="1333"/>
      <c r="Z944" s="1334"/>
      <c r="AA944" s="1559"/>
      <c r="AB944" s="1446"/>
      <c r="AC944" s="1446"/>
      <c r="AD944" s="1446"/>
      <c r="AE944" s="1446"/>
      <c r="AF944" s="1560"/>
      <c r="AZ944" s="30"/>
      <c r="BA944" s="14"/>
    </row>
    <row r="945" spans="6:55" ht="12.95" customHeight="1">
      <c r="F945" s="1555" t="s">
        <v>2155</v>
      </c>
      <c r="G945" s="1556"/>
      <c r="H945" s="1556"/>
      <c r="I945" s="1556"/>
      <c r="J945" s="1556"/>
      <c r="K945" s="1556"/>
      <c r="L945" s="1556"/>
      <c r="M945" s="1556"/>
      <c r="N945" s="1556"/>
      <c r="O945" s="1556"/>
      <c r="P945" s="1556"/>
      <c r="Q945" s="1556"/>
      <c r="R945" s="1556"/>
      <c r="S945" s="1556"/>
      <c r="T945" s="1557"/>
      <c r="U945" s="1558" t="s">
        <v>591</v>
      </c>
      <c r="V945" s="1333"/>
      <c r="W945" s="1333"/>
      <c r="X945" s="1333"/>
      <c r="Y945" s="1333"/>
      <c r="Z945" s="1334"/>
      <c r="AA945" s="1559"/>
      <c r="AB945" s="1446"/>
      <c r="AC945" s="1446"/>
      <c r="AD945" s="1446"/>
      <c r="AE945" s="1446"/>
      <c r="AF945" s="1560"/>
      <c r="AZ945" s="30"/>
      <c r="BA945" s="14"/>
    </row>
    <row r="946" spans="6:55" ht="12.95" customHeight="1">
      <c r="F946" s="1555" t="s">
        <v>2156</v>
      </c>
      <c r="G946" s="1556"/>
      <c r="H946" s="1556"/>
      <c r="I946" s="1556"/>
      <c r="J946" s="1556"/>
      <c r="K946" s="1556"/>
      <c r="L946" s="1556"/>
      <c r="M946" s="1556"/>
      <c r="N946" s="1556"/>
      <c r="O946" s="1556"/>
      <c r="P946" s="1556"/>
      <c r="Q946" s="1556"/>
      <c r="R946" s="1556"/>
      <c r="S946" s="1556"/>
      <c r="T946" s="1557"/>
      <c r="U946" s="1558" t="s">
        <v>591</v>
      </c>
      <c r="V946" s="1333"/>
      <c r="W946" s="1333"/>
      <c r="X946" s="1333"/>
      <c r="Y946" s="1333"/>
      <c r="Z946" s="1334"/>
      <c r="AA946" s="1559"/>
      <c r="AB946" s="1446"/>
      <c r="AC946" s="1446"/>
      <c r="AD946" s="1446"/>
      <c r="AE946" s="1446"/>
      <c r="AF946" s="1560"/>
      <c r="AZ946" s="30"/>
      <c r="BA946" s="30"/>
    </row>
    <row r="947" spans="6:55" ht="12.95" customHeight="1">
      <c r="F947" s="1573" t="s">
        <v>2152</v>
      </c>
      <c r="G947" s="1574"/>
      <c r="H947" s="1574"/>
      <c r="I947" s="1574"/>
      <c r="J947" s="1574"/>
      <c r="K947" s="1574"/>
      <c r="L947" s="1574"/>
      <c r="M947" s="1574"/>
      <c r="N947" s="1574"/>
      <c r="O947" s="1574"/>
      <c r="P947" s="1574"/>
      <c r="Q947" s="1574"/>
      <c r="R947" s="1574"/>
      <c r="S947" s="1574"/>
      <c r="T947" s="1575"/>
      <c r="U947" s="1558" t="s">
        <v>591</v>
      </c>
      <c r="V947" s="1333"/>
      <c r="W947" s="1333"/>
      <c r="X947" s="1333"/>
      <c r="Y947" s="1333"/>
      <c r="Z947" s="1334"/>
      <c r="AA947" s="1559"/>
      <c r="AB947" s="1446"/>
      <c r="AC947" s="1446"/>
      <c r="AD947" s="1446"/>
      <c r="AE947" s="1446"/>
      <c r="AF947" s="1560"/>
      <c r="AZ947" s="30"/>
      <c r="BA947" s="30"/>
    </row>
    <row r="948" spans="6:55" ht="12.95" customHeight="1">
      <c r="F948" s="1573" t="s">
        <v>2153</v>
      </c>
      <c r="G948" s="1574"/>
      <c r="H948" s="1574"/>
      <c r="I948" s="1574"/>
      <c r="J948" s="1574"/>
      <c r="K948" s="1574"/>
      <c r="L948" s="1574"/>
      <c r="M948" s="1574"/>
      <c r="N948" s="1574"/>
      <c r="O948" s="1574"/>
      <c r="P948" s="1574"/>
      <c r="Q948" s="1574"/>
      <c r="R948" s="1574"/>
      <c r="S948" s="1574"/>
      <c r="T948" s="1575"/>
      <c r="U948" s="1558" t="s">
        <v>591</v>
      </c>
      <c r="V948" s="1333"/>
      <c r="W948" s="1333"/>
      <c r="X948" s="1333"/>
      <c r="Y948" s="1333"/>
      <c r="Z948" s="1334"/>
      <c r="AA948" s="1559"/>
      <c r="AB948" s="1446"/>
      <c r="AC948" s="1446"/>
      <c r="AD948" s="1446"/>
      <c r="AE948" s="1446"/>
      <c r="AF948" s="1560"/>
      <c r="AZ948" s="30"/>
      <c r="BA948" s="30"/>
    </row>
    <row r="949" spans="6:55" ht="12.95" customHeight="1">
      <c r="F949" s="1573" t="s">
        <v>2154</v>
      </c>
      <c r="G949" s="1574"/>
      <c r="H949" s="1574"/>
      <c r="I949" s="1574"/>
      <c r="J949" s="1574"/>
      <c r="K949" s="1574"/>
      <c r="L949" s="1574"/>
      <c r="M949" s="1574"/>
      <c r="N949" s="1574"/>
      <c r="O949" s="1574"/>
      <c r="P949" s="1574"/>
      <c r="Q949" s="1574"/>
      <c r="R949" s="1574"/>
      <c r="S949" s="1574"/>
      <c r="T949" s="1575"/>
      <c r="U949" s="1558" t="s">
        <v>591</v>
      </c>
      <c r="V949" s="1333"/>
      <c r="W949" s="1333"/>
      <c r="X949" s="1333"/>
      <c r="Y949" s="1333"/>
      <c r="Z949" s="1334"/>
      <c r="AA949" s="1559"/>
      <c r="AB949" s="1446"/>
      <c r="AC949" s="1446"/>
      <c r="AD949" s="1446"/>
      <c r="AE949" s="1446"/>
      <c r="AF949" s="1560"/>
      <c r="AZ949" s="34"/>
      <c r="BA949" s="34"/>
      <c r="BB949" s="14"/>
      <c r="BC949" s="14"/>
    </row>
    <row r="950" spans="6:55" ht="12.95" customHeight="1">
      <c r="F950" s="121" t="s">
        <v>1261</v>
      </c>
      <c r="G950" s="5"/>
      <c r="H950" s="5"/>
      <c r="I950" s="5"/>
      <c r="J950" s="5"/>
      <c r="K950" s="5"/>
      <c r="L950" s="5"/>
      <c r="M950" s="5"/>
      <c r="N950" s="5"/>
      <c r="O950" s="5"/>
      <c r="P950" s="5"/>
      <c r="Q950" s="5"/>
      <c r="R950" s="5"/>
      <c r="S950" s="5"/>
      <c r="T950" s="46"/>
      <c r="U950" s="1558" t="s">
        <v>591</v>
      </c>
      <c r="V950" s="1333"/>
      <c r="W950" s="1333"/>
      <c r="X950" s="1333"/>
      <c r="Y950" s="1333"/>
      <c r="Z950" s="1334"/>
      <c r="AA950" s="1559"/>
      <c r="AB950" s="1446"/>
      <c r="AC950" s="1446"/>
      <c r="AD950" s="1446"/>
      <c r="AE950" s="1446"/>
      <c r="AF950" s="1560"/>
      <c r="AZ950" s="34"/>
      <c r="BA950" s="34"/>
      <c r="BB950" s="14"/>
      <c r="BC950" s="14"/>
    </row>
    <row r="951" spans="6:55" ht="12.95" customHeight="1">
      <c r="F951" s="1555" t="s">
        <v>2157</v>
      </c>
      <c r="G951" s="1556"/>
      <c r="H951" s="1556"/>
      <c r="I951" s="1556"/>
      <c r="J951" s="1556"/>
      <c r="K951" s="1556"/>
      <c r="L951" s="1556"/>
      <c r="M951" s="1556"/>
      <c r="N951" s="1556"/>
      <c r="O951" s="1556"/>
      <c r="P951" s="1556"/>
      <c r="Q951" s="1556"/>
      <c r="R951" s="1556"/>
      <c r="S951" s="1556"/>
      <c r="T951" s="1557"/>
      <c r="U951" s="1558" t="s">
        <v>591</v>
      </c>
      <c r="V951" s="1333"/>
      <c r="W951" s="1333"/>
      <c r="X951" s="1333"/>
      <c r="Y951" s="1333"/>
      <c r="Z951" s="1334"/>
      <c r="AA951" s="1559"/>
      <c r="AB951" s="1446"/>
      <c r="AC951" s="1446"/>
      <c r="AD951" s="1446"/>
      <c r="AE951" s="1446"/>
      <c r="AF951" s="1560"/>
      <c r="AZ951" s="34"/>
      <c r="BA951" s="34"/>
      <c r="BB951" s="34"/>
      <c r="BC951" s="34"/>
    </row>
    <row r="952" spans="6:55" ht="12.95" customHeight="1">
      <c r="F952" s="121" t="s">
        <v>1262</v>
      </c>
      <c r="G952" s="5"/>
      <c r="H952" s="5"/>
      <c r="I952" s="5"/>
      <c r="J952" s="5"/>
      <c r="K952" s="5"/>
      <c r="L952" s="5"/>
      <c r="M952" s="5"/>
      <c r="N952" s="5"/>
      <c r="O952" s="5"/>
      <c r="P952" s="5"/>
      <c r="Q952" s="5"/>
      <c r="R952" s="5"/>
      <c r="S952" s="5"/>
      <c r="T952" s="46"/>
      <c r="U952" s="1558" t="s">
        <v>591</v>
      </c>
      <c r="V952" s="1333"/>
      <c r="W952" s="1333"/>
      <c r="X952" s="1333"/>
      <c r="Y952" s="1333"/>
      <c r="Z952" s="1334"/>
      <c r="AA952" s="1559"/>
      <c r="AB952" s="1446"/>
      <c r="AC952" s="1446"/>
      <c r="AD952" s="1446"/>
      <c r="AE952" s="1446"/>
      <c r="AF952" s="1560"/>
      <c r="AZ952" s="34"/>
      <c r="BA952" s="34"/>
      <c r="BB952" s="34"/>
      <c r="BC952" s="34"/>
    </row>
    <row r="953" spans="6:55" ht="12.95" customHeight="1">
      <c r="F953" s="1555" t="s">
        <v>2158</v>
      </c>
      <c r="G953" s="1556"/>
      <c r="H953" s="1556"/>
      <c r="I953" s="1556"/>
      <c r="J953" s="1556"/>
      <c r="K953" s="1556"/>
      <c r="L953" s="1556"/>
      <c r="M953" s="1556"/>
      <c r="N953" s="1556"/>
      <c r="O953" s="1556"/>
      <c r="P953" s="1556"/>
      <c r="Q953" s="1556"/>
      <c r="R953" s="1556"/>
      <c r="S953" s="1556"/>
      <c r="T953" s="1557"/>
      <c r="U953" s="1558" t="s">
        <v>591</v>
      </c>
      <c r="V953" s="1333"/>
      <c r="W953" s="1333"/>
      <c r="X953" s="1333"/>
      <c r="Y953" s="1333"/>
      <c r="Z953" s="1334"/>
      <c r="AA953" s="1559"/>
      <c r="AB953" s="1446"/>
      <c r="AC953" s="1446"/>
      <c r="AD953" s="1446"/>
      <c r="AE953" s="1446"/>
      <c r="AF953" s="1560"/>
      <c r="AZ953" s="34"/>
      <c r="BA953" s="34"/>
      <c r="BB953" s="34"/>
      <c r="BC953" s="34"/>
    </row>
    <row r="954" spans="6:55" ht="12.95" customHeight="1">
      <c r="F954" s="45" t="s">
        <v>806</v>
      </c>
      <c r="G954" s="5"/>
      <c r="H954" s="5"/>
      <c r="I954" s="5"/>
      <c r="J954" s="5"/>
      <c r="K954" s="5"/>
      <c r="L954" s="5"/>
      <c r="M954" s="5"/>
      <c r="N954" s="5"/>
      <c r="O954" s="5"/>
      <c r="P954" s="1558" t="s">
        <v>669</v>
      </c>
      <c r="Q954" s="1333"/>
      <c r="R954" s="1333"/>
      <c r="S954" s="1333"/>
      <c r="T954" s="1334"/>
      <c r="U954" s="1558" t="s">
        <v>591</v>
      </c>
      <c r="V954" s="1333"/>
      <c r="W954" s="1333"/>
      <c r="X954" s="1333"/>
      <c r="Y954" s="1333"/>
      <c r="Z954" s="1334"/>
      <c r="AA954" s="1559"/>
      <c r="AB954" s="1446"/>
      <c r="AC954" s="1446"/>
      <c r="AD954" s="1446"/>
      <c r="AE954" s="1446"/>
      <c r="AF954" s="1560"/>
      <c r="AZ954" s="34"/>
      <c r="BA954" s="34"/>
      <c r="BB954" s="34"/>
      <c r="BC954" s="34"/>
    </row>
    <row r="955" spans="6:55" ht="12.95" customHeight="1">
      <c r="F955" s="1573" t="s">
        <v>2145</v>
      </c>
      <c r="G955" s="1574"/>
      <c r="H955" s="1575"/>
      <c r="I955" s="1541" t="s">
        <v>334</v>
      </c>
      <c r="J955" s="1542"/>
      <c r="K955" s="1542"/>
      <c r="L955" s="1542"/>
      <c r="M955" s="1542"/>
      <c r="N955" s="1542"/>
      <c r="O955" s="1542"/>
      <c r="P955" s="1542"/>
      <c r="Q955" s="1542"/>
      <c r="R955" s="1542"/>
      <c r="S955" s="1542"/>
      <c r="T955" s="1543"/>
      <c r="U955" s="1558" t="s">
        <v>591</v>
      </c>
      <c r="V955" s="1333"/>
      <c r="W955" s="1333"/>
      <c r="X955" s="1333"/>
      <c r="Y955" s="1333"/>
      <c r="Z955" s="1334"/>
      <c r="AA955" s="1559"/>
      <c r="AB955" s="1446"/>
      <c r="AC955" s="1446"/>
      <c r="AD955" s="1446"/>
      <c r="AE955" s="1446"/>
      <c r="AF955" s="1560"/>
      <c r="AZ955" s="34"/>
      <c r="BA955" s="34"/>
      <c r="BB955" s="34"/>
      <c r="BC955" s="34"/>
    </row>
    <row r="956" spans="6:55" ht="12.95" customHeight="1">
      <c r="F956" s="45" t="s">
        <v>86</v>
      </c>
      <c r="G956" s="48"/>
      <c r="H956" s="48"/>
      <c r="I956" s="1541" t="s">
        <v>334</v>
      </c>
      <c r="J956" s="1542"/>
      <c r="K956" s="1542"/>
      <c r="L956" s="1542"/>
      <c r="M956" s="1542"/>
      <c r="N956" s="1542"/>
      <c r="O956" s="1542"/>
      <c r="P956" s="1542"/>
      <c r="Q956" s="1542"/>
      <c r="R956" s="1542"/>
      <c r="S956" s="1542"/>
      <c r="T956" s="1543"/>
      <c r="U956" s="1558" t="s">
        <v>591</v>
      </c>
      <c r="V956" s="1333"/>
      <c r="W956" s="1333"/>
      <c r="X956" s="1333"/>
      <c r="Y956" s="1333"/>
      <c r="Z956" s="1334"/>
      <c r="AA956" s="1559"/>
      <c r="AB956" s="1446"/>
      <c r="AC956" s="1446"/>
      <c r="AD956" s="1446"/>
      <c r="AE956" s="1446"/>
      <c r="AF956" s="1560"/>
      <c r="AZ956" s="34"/>
      <c r="BA956" s="34"/>
      <c r="BB956" s="34"/>
      <c r="BC956" s="34"/>
    </row>
    <row r="957" spans="6:55" ht="12.95" customHeight="1">
      <c r="F957" s="45" t="s">
        <v>10</v>
      </c>
      <c r="G957" s="48"/>
      <c r="H957" s="48"/>
      <c r="I957" s="1620" t="s">
        <v>334</v>
      </c>
      <c r="J957" s="1621"/>
      <c r="K957" s="1621"/>
      <c r="L957" s="1621"/>
      <c r="M957" s="1621"/>
      <c r="N957" s="1621"/>
      <c r="O957" s="1621"/>
      <c r="P957" s="1621"/>
      <c r="Q957" s="1621"/>
      <c r="R957" s="1621"/>
      <c r="S957" s="1621"/>
      <c r="T957" s="1622"/>
      <c r="U957" s="1558" t="s">
        <v>591</v>
      </c>
      <c r="V957" s="1333"/>
      <c r="W957" s="1333"/>
      <c r="X957" s="1333"/>
      <c r="Y957" s="1333"/>
      <c r="Z957" s="1334"/>
      <c r="AA957" s="1559"/>
      <c r="AB957" s="1446"/>
      <c r="AC957" s="1446"/>
      <c r="AD957" s="1446"/>
      <c r="AE957" s="1446"/>
      <c r="AF957" s="1560"/>
      <c r="AV957" s="2"/>
      <c r="AW957" s="2"/>
      <c r="AX957" s="2"/>
      <c r="AY957" s="2"/>
      <c r="AZ957" s="34"/>
      <c r="BA957" s="34"/>
      <c r="BB957" s="34"/>
      <c r="BC957" s="34"/>
    </row>
    <row r="958" spans="6:55" ht="12.95" customHeight="1">
      <c r="F958" s="47" t="s">
        <v>170</v>
      </c>
      <c r="G958" s="48"/>
      <c r="H958" s="48"/>
      <c r="I958" s="1620" t="s">
        <v>334</v>
      </c>
      <c r="J958" s="1621"/>
      <c r="K958" s="1621"/>
      <c r="L958" s="1621"/>
      <c r="M958" s="1621"/>
      <c r="N958" s="1621"/>
      <c r="O958" s="1621"/>
      <c r="P958" s="1621"/>
      <c r="Q958" s="1621"/>
      <c r="R958" s="1621"/>
      <c r="S958" s="1621"/>
      <c r="T958" s="1622"/>
      <c r="U958" s="1558" t="s">
        <v>591</v>
      </c>
      <c r="V958" s="1333"/>
      <c r="W958" s="1333"/>
      <c r="X958" s="1333"/>
      <c r="Y958" s="1333"/>
      <c r="Z958" s="1334"/>
      <c r="AA958" s="1559"/>
      <c r="AB958" s="1446"/>
      <c r="AC958" s="1446"/>
      <c r="AD958" s="1446"/>
      <c r="AE958" s="1446"/>
      <c r="AF958" s="1560"/>
      <c r="AU958" s="2"/>
      <c r="AZ958" s="34"/>
      <c r="BA958" s="34"/>
      <c r="BB958" s="34"/>
      <c r="BC958" s="34"/>
    </row>
    <row r="959" spans="6:55" ht="12.95" customHeight="1">
      <c r="F959" s="47" t="s">
        <v>170</v>
      </c>
      <c r="G959" s="48"/>
      <c r="H959" s="48"/>
      <c r="I959" s="1620" t="s">
        <v>334</v>
      </c>
      <c r="J959" s="1621"/>
      <c r="K959" s="1621"/>
      <c r="L959" s="1621"/>
      <c r="M959" s="1621"/>
      <c r="N959" s="1621"/>
      <c r="O959" s="1621"/>
      <c r="P959" s="1621"/>
      <c r="Q959" s="1621"/>
      <c r="R959" s="1621"/>
      <c r="S959" s="1621"/>
      <c r="T959" s="1622"/>
      <c r="U959" s="1558" t="s">
        <v>591</v>
      </c>
      <c r="V959" s="1333"/>
      <c r="W959" s="1333"/>
      <c r="X959" s="1333"/>
      <c r="Y959" s="1333"/>
      <c r="Z959" s="1334"/>
      <c r="AA959" s="1559"/>
      <c r="AB959" s="1446"/>
      <c r="AC959" s="1446"/>
      <c r="AD959" s="1446"/>
      <c r="AE959" s="1446"/>
      <c r="AF959" s="1560"/>
      <c r="AU959" s="2"/>
      <c r="AZ959" s="34"/>
      <c r="BA959" s="34"/>
      <c r="BB959" s="34"/>
      <c r="BC959" s="34"/>
    </row>
    <row r="960" spans="6:55" ht="12.95" customHeight="1">
      <c r="AU960" s="2"/>
      <c r="AZ960" s="34"/>
      <c r="BA960" s="34"/>
      <c r="BB960" s="34"/>
      <c r="BC960" s="34"/>
    </row>
    <row r="961" spans="1:64" ht="12.95" customHeight="1">
      <c r="A961" s="2" t="s">
        <v>576</v>
      </c>
      <c r="C961" s="2" t="s">
        <v>751</v>
      </c>
      <c r="AZ961" s="34"/>
      <c r="BA961" s="34"/>
      <c r="BB961" s="34"/>
      <c r="BC961" s="34"/>
    </row>
    <row r="962" spans="1:64" ht="12.95" customHeight="1">
      <c r="B962" s="2"/>
      <c r="C962" s="22" t="s">
        <v>392</v>
      </c>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c r="AS962" s="2"/>
      <c r="AT962" s="2"/>
      <c r="AZ962" s="34"/>
      <c r="BA962" s="34"/>
      <c r="BB962" s="34"/>
      <c r="BC962" s="34"/>
    </row>
    <row r="963" spans="1:64" ht="12.95" customHeight="1">
      <c r="AZ963" s="34"/>
      <c r="BA963" s="34"/>
      <c r="BB963" s="34"/>
      <c r="BC963" s="34"/>
    </row>
    <row r="964" spans="1:64" ht="12.95" customHeight="1">
      <c r="C964" s="66" t="s">
        <v>11</v>
      </c>
      <c r="D964" s="5"/>
      <c r="E964" s="5"/>
      <c r="F964" s="5"/>
      <c r="G964" s="5"/>
      <c r="H964" s="5"/>
      <c r="I964" s="5"/>
      <c r="J964" s="5"/>
      <c r="K964" s="5"/>
      <c r="L964" s="46"/>
      <c r="M964" s="1626"/>
      <c r="N964" s="1436"/>
      <c r="O964" s="1436"/>
      <c r="P964" s="1436"/>
      <c r="Q964" s="1436"/>
      <c r="R964" s="1436"/>
      <c r="S964" s="1590"/>
      <c r="U964" s="66" t="s">
        <v>11</v>
      </c>
      <c r="V964" s="5"/>
      <c r="W964" s="5"/>
      <c r="X964" s="5"/>
      <c r="Y964" s="5"/>
      <c r="Z964" s="5"/>
      <c r="AA964" s="5"/>
      <c r="AB964" s="5"/>
      <c r="AC964" s="5"/>
      <c r="AD964" s="46"/>
      <c r="AE964" s="1626"/>
      <c r="AF964" s="1436"/>
      <c r="AG964" s="1436"/>
      <c r="AH964" s="1436"/>
      <c r="AI964" s="1436"/>
      <c r="AJ964" s="1436"/>
      <c r="AK964" s="1590"/>
      <c r="AZ964" s="34"/>
      <c r="BA964" s="34"/>
      <c r="BB964" s="34"/>
      <c r="BC964" s="34"/>
    </row>
    <row r="965" spans="1:64" ht="12.95" customHeight="1">
      <c r="C965" s="66" t="s">
        <v>12</v>
      </c>
      <c r="D965" s="5"/>
      <c r="E965" s="5"/>
      <c r="F965" s="5"/>
      <c r="G965" s="5"/>
      <c r="H965" s="5"/>
      <c r="I965" s="5"/>
      <c r="J965" s="5"/>
      <c r="K965" s="5"/>
      <c r="L965" s="46"/>
      <c r="M965" s="1398"/>
      <c r="N965" s="1441"/>
      <c r="O965" s="1441"/>
      <c r="P965" s="1441"/>
      <c r="Q965" s="1441"/>
      <c r="R965" s="1441"/>
      <c r="S965" s="1650"/>
      <c r="U965" s="66" t="s">
        <v>12</v>
      </c>
      <c r="V965" s="5"/>
      <c r="W965" s="5"/>
      <c r="X965" s="5"/>
      <c r="Y965" s="5"/>
      <c r="Z965" s="5"/>
      <c r="AA965" s="5"/>
      <c r="AB965" s="5"/>
      <c r="AC965" s="5"/>
      <c r="AD965" s="46"/>
      <c r="AE965" s="1398"/>
      <c r="AF965" s="1441"/>
      <c r="AG965" s="1441"/>
      <c r="AH965" s="1441"/>
      <c r="AI965" s="1441"/>
      <c r="AJ965" s="1441"/>
      <c r="AK965" s="1650"/>
      <c r="AZ965" s="34"/>
      <c r="BA965" s="34"/>
      <c r="BB965" s="34"/>
      <c r="BC965" s="34"/>
    </row>
    <row r="966" spans="1:64" ht="12.95" customHeight="1">
      <c r="C966" s="66" t="s">
        <v>880</v>
      </c>
      <c r="D966" s="5"/>
      <c r="E966" s="5"/>
      <c r="J966" s="1666" t="s">
        <v>307</v>
      </c>
      <c r="K966" s="1667"/>
      <c r="L966" s="1667"/>
      <c r="M966" s="1667"/>
      <c r="N966" s="1667"/>
      <c r="O966" s="1667"/>
      <c r="P966" s="1667"/>
      <c r="Q966" s="1667"/>
      <c r="R966" s="1667"/>
      <c r="S966" s="1668"/>
      <c r="U966" s="66" t="s">
        <v>880</v>
      </c>
      <c r="V966" s="5"/>
      <c r="W966" s="5"/>
      <c r="AB966" s="1666" t="s">
        <v>307</v>
      </c>
      <c r="AC966" s="1667"/>
      <c r="AD966" s="1667"/>
      <c r="AE966" s="1667"/>
      <c r="AF966" s="1667"/>
      <c r="AG966" s="1667"/>
      <c r="AH966" s="1667"/>
      <c r="AI966" s="1667"/>
      <c r="AJ966" s="1667"/>
      <c r="AK966" s="1668"/>
      <c r="AZ966" s="34"/>
      <c r="BA966" s="34"/>
      <c r="BB966" s="34"/>
      <c r="BC966" s="34"/>
    </row>
    <row r="967" spans="1:64" ht="12.95" customHeight="1">
      <c r="C967" s="66" t="s">
        <v>13</v>
      </c>
      <c r="D967" s="5"/>
      <c r="E967" s="5"/>
      <c r="F967" s="5"/>
      <c r="G967" s="5"/>
      <c r="H967" s="5"/>
      <c r="I967" s="5"/>
      <c r="J967" s="5"/>
      <c r="K967" s="5"/>
      <c r="L967" s="46"/>
      <c r="M967" s="1637"/>
      <c r="N967" s="1638"/>
      <c r="O967" s="1638"/>
      <c r="P967" s="1638"/>
      <c r="Q967" s="1638"/>
      <c r="R967" s="1638"/>
      <c r="S967" s="1639"/>
      <c r="U967" s="66" t="s">
        <v>13</v>
      </c>
      <c r="V967" s="5"/>
      <c r="W967" s="5"/>
      <c r="X967" s="5"/>
      <c r="Y967" s="5"/>
      <c r="Z967" s="5"/>
      <c r="AA967" s="5"/>
      <c r="AB967" s="5"/>
      <c r="AC967" s="5"/>
      <c r="AD967" s="46"/>
      <c r="AE967" s="1657"/>
      <c r="AF967" s="1638"/>
      <c r="AG967" s="1638"/>
      <c r="AH967" s="1638"/>
      <c r="AI967" s="1638"/>
      <c r="AJ967" s="1638"/>
      <c r="AK967" s="1639"/>
      <c r="AZ967" s="34"/>
      <c r="BA967" s="34"/>
      <c r="BB967" s="34"/>
      <c r="BC967" s="34"/>
    </row>
    <row r="968" spans="1:64" ht="12.95" customHeight="1">
      <c r="C968" s="66" t="s">
        <v>14</v>
      </c>
      <c r="D968" s="5"/>
      <c r="E968" s="5"/>
      <c r="F968" s="5"/>
      <c r="G968" s="5"/>
      <c r="H968" s="5"/>
      <c r="I968" s="5"/>
      <c r="J968" s="5"/>
      <c r="K968" s="5"/>
      <c r="L968" s="46"/>
      <c r="M968" s="1554"/>
      <c r="N968" s="1552"/>
      <c r="O968" s="1552"/>
      <c r="P968" s="1552"/>
      <c r="Q968" s="1552"/>
      <c r="R968" s="1552"/>
      <c r="S968" s="1553"/>
      <c r="U968" s="66" t="s">
        <v>14</v>
      </c>
      <c r="V968" s="5"/>
      <c r="W968" s="5"/>
      <c r="X968" s="5"/>
      <c r="Y968" s="5"/>
      <c r="Z968" s="5"/>
      <c r="AA968" s="5"/>
      <c r="AB968" s="5"/>
      <c r="AC968" s="5"/>
      <c r="AD968" s="46"/>
      <c r="AE968" s="1554"/>
      <c r="AF968" s="1552"/>
      <c r="AG968" s="1552"/>
      <c r="AH968" s="1552"/>
      <c r="AI968" s="1552"/>
      <c r="AJ968" s="1552"/>
      <c r="AK968" s="1553"/>
      <c r="AV968" s="2"/>
      <c r="AW968" s="2"/>
      <c r="AX968" s="2"/>
      <c r="AY968" s="2"/>
      <c r="AZ968" s="34"/>
      <c r="BA968" s="34"/>
      <c r="BB968" s="34"/>
      <c r="BC968" s="34"/>
    </row>
    <row r="969" spans="1:64" ht="12.95" customHeight="1">
      <c r="C969" s="66" t="s">
        <v>15</v>
      </c>
      <c r="D969" s="5"/>
      <c r="E969" s="5"/>
      <c r="F969" s="5"/>
      <c r="G969" s="5"/>
      <c r="H969" s="5"/>
      <c r="I969" s="5"/>
      <c r="J969" s="5"/>
      <c r="K969" s="5"/>
      <c r="L969" s="46"/>
      <c r="M969" s="1559"/>
      <c r="N969" s="1446"/>
      <c r="O969" s="1446"/>
      <c r="P969" s="1446"/>
      <c r="Q969" s="1446"/>
      <c r="R969" s="1446"/>
      <c r="S969" s="1560"/>
      <c r="U969" s="66" t="s">
        <v>15</v>
      </c>
      <c r="V969" s="5"/>
      <c r="W969" s="5"/>
      <c r="X969" s="5"/>
      <c r="Y969" s="5"/>
      <c r="Z969" s="5"/>
      <c r="AA969" s="5"/>
      <c r="AB969" s="5"/>
      <c r="AC969" s="5"/>
      <c r="AD969" s="46"/>
      <c r="AE969" s="1559"/>
      <c r="AF969" s="1446"/>
      <c r="AG969" s="1446"/>
      <c r="AH969" s="1446"/>
      <c r="AI969" s="1446"/>
      <c r="AJ969" s="1446"/>
      <c r="AK969" s="1560"/>
      <c r="AV969" s="2"/>
      <c r="AW969" s="2"/>
      <c r="AX969" s="2"/>
      <c r="AY969" s="2"/>
      <c r="AZ969" s="34"/>
      <c r="BA969" s="34"/>
      <c r="BB969" s="34"/>
      <c r="BC969" s="34"/>
    </row>
    <row r="970" spans="1:64" ht="12.95" customHeight="1">
      <c r="C970" s="66" t="s">
        <v>16</v>
      </c>
      <c r="D970" s="5"/>
      <c r="E970" s="5"/>
      <c r="F970" s="5"/>
      <c r="G970" s="5"/>
      <c r="H970" s="5"/>
      <c r="I970" s="5"/>
      <c r="J970" s="5"/>
      <c r="K970" s="5"/>
      <c r="L970" s="46"/>
      <c r="M970" s="1559"/>
      <c r="N970" s="1446"/>
      <c r="O970" s="1446"/>
      <c r="P970" s="1446"/>
      <c r="Q970" s="1446"/>
      <c r="R970" s="1446"/>
      <c r="S970" s="1560"/>
      <c r="U970" s="66" t="s">
        <v>16</v>
      </c>
      <c r="V970" s="5"/>
      <c r="W970" s="5"/>
      <c r="X970" s="5"/>
      <c r="Y970" s="5"/>
      <c r="Z970" s="5"/>
      <c r="AA970" s="5"/>
      <c r="AB970" s="5"/>
      <c r="AC970" s="5"/>
      <c r="AD970" s="46"/>
      <c r="AE970" s="1559"/>
      <c r="AF970" s="1446"/>
      <c r="AG970" s="1446"/>
      <c r="AH970" s="1446"/>
      <c r="AI970" s="1446"/>
      <c r="AJ970" s="1446"/>
      <c r="AK970" s="1560"/>
      <c r="AV970" s="2"/>
      <c r="AW970" s="2"/>
      <c r="AX970" s="2"/>
      <c r="AY970" s="2"/>
      <c r="AZ970" s="34"/>
      <c r="BB970" s="34"/>
      <c r="BC970" s="34"/>
    </row>
    <row r="971" spans="1:64" ht="12.95" customHeight="1">
      <c r="C971" s="121" t="s">
        <v>1650</v>
      </c>
      <c r="D971" s="5"/>
      <c r="E971" s="5"/>
      <c r="F971" s="5"/>
      <c r="G971" s="5"/>
      <c r="H971" s="5"/>
      <c r="I971" s="5"/>
      <c r="J971" s="5"/>
      <c r="K971" s="5"/>
      <c r="L971" s="46"/>
      <c r="M971" s="1654"/>
      <c r="N971" s="1655"/>
      <c r="O971" s="1655"/>
      <c r="P971" s="1655"/>
      <c r="Q971" s="1655"/>
      <c r="R971" s="1655"/>
      <c r="S971" s="1656"/>
      <c r="U971" s="121" t="s">
        <v>1650</v>
      </c>
      <c r="V971" s="5"/>
      <c r="W971" s="5"/>
      <c r="X971" s="5"/>
      <c r="Y971" s="5"/>
      <c r="Z971" s="5"/>
      <c r="AA971" s="5"/>
      <c r="AB971" s="5"/>
      <c r="AC971" s="5"/>
      <c r="AD971" s="46"/>
      <c r="AE971" s="1654"/>
      <c r="AF971" s="1655"/>
      <c r="AG971" s="1655"/>
      <c r="AH971" s="1655"/>
      <c r="AI971" s="1655"/>
      <c r="AJ971" s="1655"/>
      <c r="AK971" s="1656"/>
      <c r="AZ971" s="34"/>
      <c r="BB971" s="34"/>
      <c r="BC971" s="34"/>
      <c r="BD971" s="34"/>
      <c r="BE971" s="34"/>
      <c r="BF971" s="34"/>
      <c r="BG971" s="34"/>
      <c r="BH971" s="34"/>
      <c r="BI971" s="34"/>
      <c r="BJ971" s="34"/>
      <c r="BK971" s="34"/>
      <c r="BL971" s="34"/>
    </row>
    <row r="972" spans="1:64" ht="12.95" customHeight="1">
      <c r="AZ972" s="34"/>
      <c r="BB972" s="34"/>
      <c r="BC972" s="34"/>
      <c r="BD972" s="34"/>
      <c r="BE972" s="34"/>
      <c r="BF972" s="34"/>
      <c r="BG972" s="34"/>
      <c r="BH972" s="34"/>
      <c r="BI972" s="34"/>
      <c r="BJ972" s="34"/>
      <c r="BK972" s="34"/>
      <c r="BL972" s="34"/>
    </row>
    <row r="973" spans="1:64" ht="12.95" customHeight="1">
      <c r="A973" s="2" t="s">
        <v>586</v>
      </c>
      <c r="C973" s="2" t="s">
        <v>650</v>
      </c>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c r="AS973" s="2"/>
      <c r="AT973" s="2"/>
      <c r="AU973" s="95"/>
      <c r="AZ973" s="34"/>
      <c r="BB973" s="34"/>
      <c r="BC973" s="34"/>
      <c r="BD973" s="34"/>
      <c r="BE973" s="34"/>
      <c r="BF973" s="34"/>
      <c r="BG973" s="34"/>
      <c r="BH973" s="34"/>
      <c r="BI973" s="34"/>
      <c r="BJ973" s="34"/>
      <c r="BK973" s="34"/>
      <c r="BL973" s="34"/>
    </row>
    <row r="974" spans="1:64" s="14" customFormat="1" ht="12.95" customHeight="1">
      <c r="A974"/>
      <c r="B974" s="2"/>
      <c r="C974" s="22" t="s">
        <v>180</v>
      </c>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c r="AU974" s="95"/>
      <c r="AV974"/>
      <c r="AW974"/>
      <c r="AX974"/>
      <c r="AY974"/>
      <c r="AZ974" s="34"/>
      <c r="BA974"/>
      <c r="BB974" s="34"/>
      <c r="BC974" s="34"/>
      <c r="BD974" s="34"/>
      <c r="BE974" s="34"/>
      <c r="BF974" s="34"/>
      <c r="BG974" s="34"/>
      <c r="BH974" s="34"/>
      <c r="BI974" s="34"/>
      <c r="BJ974" s="34"/>
      <c r="BK974" s="34"/>
      <c r="BL974" s="34"/>
    </row>
    <row r="975" spans="1:64" s="14" customFormat="1" ht="12.95" customHeight="1">
      <c r="A975"/>
      <c r="B975" s="2"/>
      <c r="C975" s="22"/>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c r="AS975" s="2"/>
      <c r="AT975" s="2"/>
      <c r="AU975" s="68"/>
      <c r="AV975"/>
      <c r="AW975"/>
      <c r="AX975"/>
      <c r="AY975"/>
      <c r="AZ975" s="34"/>
      <c r="BA975"/>
      <c r="BB975" s="34"/>
      <c r="BC975" s="34"/>
      <c r="BD975" s="34"/>
      <c r="BE975" s="34"/>
      <c r="BF975" s="34"/>
      <c r="BG975" s="34"/>
      <c r="BH975" s="34"/>
      <c r="BI975" s="34"/>
      <c r="BJ975" s="34"/>
      <c r="BK975" s="34"/>
      <c r="BL975" s="34"/>
    </row>
    <row r="976" spans="1:64" s="14" customFormat="1" ht="12.95" customHeight="1">
      <c r="A976"/>
      <c r="B976"/>
      <c r="C976"/>
      <c r="D976"/>
      <c r="E976"/>
      <c r="F976" s="45" t="s">
        <v>571</v>
      </c>
      <c r="G976" s="5"/>
      <c r="H976" s="5"/>
      <c r="I976" s="5"/>
      <c r="J976" s="5"/>
      <c r="K976" s="5"/>
      <c r="L976" s="46"/>
      <c r="M976" s="1623"/>
      <c r="N976" s="1624"/>
      <c r="O976" s="1624"/>
      <c r="P976" s="1624"/>
      <c r="Q976" s="1624"/>
      <c r="R976" s="1624"/>
      <c r="S976" s="1625"/>
      <c r="T976" s="66" t="s">
        <v>790</v>
      </c>
      <c r="U976" s="5"/>
      <c r="V976" s="5"/>
      <c r="W976" s="5"/>
      <c r="X976" s="5"/>
      <c r="Y976" s="5"/>
      <c r="Z976" s="46"/>
      <c r="AA976" s="1623"/>
      <c r="AB976" s="1624"/>
      <c r="AC976" s="1624"/>
      <c r="AD976" s="1624"/>
      <c r="AE976" s="1624"/>
      <c r="AF976" s="1624"/>
      <c r="AG976" s="1625"/>
      <c r="AH976"/>
      <c r="AI976"/>
      <c r="AJ976"/>
      <c r="AK976"/>
      <c r="AL976"/>
      <c r="AM976"/>
      <c r="AN976"/>
      <c r="AO976"/>
      <c r="AP976"/>
      <c r="AQ976"/>
      <c r="AR976"/>
      <c r="AS976"/>
      <c r="AT976"/>
      <c r="AU976" s="68"/>
      <c r="AV976"/>
      <c r="AW976"/>
      <c r="AX976"/>
      <c r="AY976"/>
      <c r="AZ976" s="34"/>
      <c r="BA976"/>
      <c r="BB976" s="34"/>
      <c r="BC976" s="34"/>
      <c r="BD976" s="34"/>
      <c r="BE976" s="34"/>
      <c r="BF976" s="34"/>
      <c r="BG976" s="34"/>
      <c r="BH976" s="34"/>
      <c r="BI976" s="34"/>
      <c r="BJ976" s="34"/>
      <c r="BK976" s="34"/>
      <c r="BL976" s="34"/>
    </row>
    <row r="977" spans="1:64" s="14" customFormat="1" ht="12.95" customHeight="1">
      <c r="A977"/>
      <c r="B977"/>
      <c r="C977"/>
      <c r="D977"/>
      <c r="E977"/>
      <c r="F977" s="45" t="s">
        <v>572</v>
      </c>
      <c r="G977" s="5"/>
      <c r="H977" s="5"/>
      <c r="I977" s="5"/>
      <c r="J977" s="5"/>
      <c r="K977" s="5"/>
      <c r="L977" s="46"/>
      <c r="M977" s="1623"/>
      <c r="N977" s="1624"/>
      <c r="O977" s="1624"/>
      <c r="P977" s="1624"/>
      <c r="Q977" s="1624"/>
      <c r="R977" s="1624"/>
      <c r="S977" s="1625"/>
      <c r="T977" s="66" t="s">
        <v>789</v>
      </c>
      <c r="U977" s="5"/>
      <c r="V977" s="5"/>
      <c r="W977" s="5"/>
      <c r="X977" s="5"/>
      <c r="Y977" s="5"/>
      <c r="Z977" s="46"/>
      <c r="AA977" s="1623"/>
      <c r="AB977" s="1624"/>
      <c r="AC977" s="1624"/>
      <c r="AD977" s="1624"/>
      <c r="AE977" s="1624"/>
      <c r="AF977" s="1624"/>
      <c r="AG977" s="1625"/>
      <c r="AH977"/>
      <c r="AI977"/>
      <c r="AJ977"/>
      <c r="AK977"/>
      <c r="AL977"/>
      <c r="AM977"/>
      <c r="AN977"/>
      <c r="AO977"/>
      <c r="AP977"/>
      <c r="AQ977"/>
      <c r="AR977"/>
      <c r="AS977"/>
      <c r="AT977"/>
      <c r="AU977" s="68"/>
      <c r="AV977"/>
      <c r="AW977"/>
      <c r="AX977"/>
      <c r="AY977"/>
      <c r="AZ977" s="34"/>
      <c r="BA977"/>
      <c r="BB977" s="34"/>
      <c r="BC977" s="34"/>
      <c r="BD977" s="34"/>
      <c r="BE977" s="34"/>
      <c r="BF977"/>
      <c r="BG977"/>
      <c r="BH977"/>
      <c r="BI977"/>
      <c r="BJ977" s="34"/>
      <c r="BK977" s="34"/>
      <c r="BL977" s="34"/>
    </row>
    <row r="978" spans="1:64" s="14" customFormat="1" ht="12.95" customHeight="1">
      <c r="A978"/>
      <c r="B978"/>
      <c r="C978"/>
      <c r="D978"/>
      <c r="E978"/>
      <c r="F978" s="45" t="s">
        <v>901</v>
      </c>
      <c r="G978" s="5"/>
      <c r="H978" s="5"/>
      <c r="I978" s="5"/>
      <c r="J978" s="5"/>
      <c r="K978" s="5"/>
      <c r="L978" s="46"/>
      <c r="M978" s="1640" t="s">
        <v>591</v>
      </c>
      <c r="N978" s="1641"/>
      <c r="O978" s="1641"/>
      <c r="P978" s="1641"/>
      <c r="Q978" s="1641"/>
      <c r="R978" s="1641"/>
      <c r="S978" s="1642"/>
      <c r="T978" s="45" t="s">
        <v>337</v>
      </c>
      <c r="U978" s="5"/>
      <c r="V978" s="5"/>
      <c r="W978" s="5"/>
      <c r="X978" s="5"/>
      <c r="Y978" s="5"/>
      <c r="Z978" s="46"/>
      <c r="AA978" s="1623"/>
      <c r="AB978" s="1624"/>
      <c r="AC978" s="1624"/>
      <c r="AD978" s="1624"/>
      <c r="AE978" s="1624"/>
      <c r="AF978" s="1624"/>
      <c r="AG978" s="1625"/>
      <c r="AH978"/>
      <c r="AI978"/>
      <c r="AJ978"/>
      <c r="AK978"/>
      <c r="AL978"/>
      <c r="AM978"/>
      <c r="AN978"/>
      <c r="AO978"/>
      <c r="AP978"/>
      <c r="AQ978"/>
      <c r="AR978"/>
      <c r="AS978"/>
      <c r="AT978"/>
      <c r="AU978" s="68"/>
      <c r="AV978"/>
      <c r="AW978"/>
      <c r="AX978"/>
      <c r="AY978"/>
      <c r="AZ978" s="34"/>
      <c r="BA978"/>
      <c r="BB978" s="34"/>
      <c r="BC978" s="34"/>
      <c r="BD978" s="34"/>
      <c r="BE978" s="34"/>
      <c r="BF978"/>
      <c r="BG978"/>
      <c r="BH978"/>
      <c r="BI978"/>
      <c r="BJ978" s="34"/>
      <c r="BK978" s="34"/>
      <c r="BL978" s="34"/>
    </row>
    <row r="979" spans="1:64" s="14" customFormat="1" ht="12.95" customHeight="1">
      <c r="A979"/>
      <c r="B979"/>
      <c r="C979"/>
      <c r="D979"/>
      <c r="E979"/>
      <c r="F979" s="45" t="s">
        <v>573</v>
      </c>
      <c r="G979" s="5"/>
      <c r="H979" s="5"/>
      <c r="I979" s="5"/>
      <c r="J979" s="5"/>
      <c r="K979" s="5"/>
      <c r="L979" s="46"/>
      <c r="M979" s="1623"/>
      <c r="N979" s="1624"/>
      <c r="O979" s="1624"/>
      <c r="P979" s="1624"/>
      <c r="Q979" s="1624"/>
      <c r="R979" s="1624"/>
      <c r="S979" s="1625"/>
      <c r="T979" s="45" t="s">
        <v>338</v>
      </c>
      <c r="U979" s="5"/>
      <c r="V979" s="5"/>
      <c r="W979" s="5"/>
      <c r="X979" s="5"/>
      <c r="Y979" s="5"/>
      <c r="Z979" s="46"/>
      <c r="AA979" s="1623"/>
      <c r="AB979" s="1624"/>
      <c r="AC979" s="1624"/>
      <c r="AD979" s="1624"/>
      <c r="AE979" s="1624"/>
      <c r="AF979" s="1624"/>
      <c r="AG979" s="1625"/>
      <c r="AH979"/>
      <c r="AI979"/>
      <c r="AJ979"/>
      <c r="AK979"/>
      <c r="AL979"/>
      <c r="AM979"/>
      <c r="AN979"/>
      <c r="AO979"/>
      <c r="AP979"/>
      <c r="AQ979"/>
      <c r="AR979"/>
      <c r="AS979"/>
      <c r="AT979"/>
      <c r="AU979" s="68"/>
      <c r="AV979"/>
      <c r="AW979"/>
      <c r="AX979"/>
      <c r="AY979"/>
      <c r="AZ979" s="34"/>
      <c r="BA979"/>
      <c r="BB979" s="34"/>
      <c r="BC979" s="34"/>
      <c r="BD979" s="34"/>
      <c r="BE979" s="34"/>
      <c r="BF979"/>
      <c r="BG979"/>
      <c r="BH979"/>
      <c r="BI979"/>
      <c r="BJ979" s="34"/>
      <c r="BK979" s="34"/>
      <c r="BL979" s="34"/>
    </row>
    <row r="980" spans="1:64" s="14" customFormat="1" ht="12.95" customHeight="1">
      <c r="A980"/>
      <c r="B980"/>
      <c r="C980"/>
      <c r="D980"/>
      <c r="E980"/>
      <c r="F980" s="45" t="s">
        <v>464</v>
      </c>
      <c r="G980" s="5"/>
      <c r="H980" s="5"/>
      <c r="I980" s="5"/>
      <c r="J980" s="5"/>
      <c r="K980" s="5"/>
      <c r="L980" s="46"/>
      <c r="M980" s="1623"/>
      <c r="N980" s="1624"/>
      <c r="O980" s="1624"/>
      <c r="P980" s="1624"/>
      <c r="Q980" s="1624"/>
      <c r="R980" s="1624"/>
      <c r="S980" s="1625"/>
      <c r="T980" s="45" t="s">
        <v>376</v>
      </c>
      <c r="U980" s="5"/>
      <c r="V980" s="5"/>
      <c r="W980" s="5"/>
      <c r="X980" s="5"/>
      <c r="Y980" s="5"/>
      <c r="Z980" s="46"/>
      <c r="AA980" s="1623"/>
      <c r="AB980" s="1624"/>
      <c r="AC980" s="1624"/>
      <c r="AD980" s="1624"/>
      <c r="AE980" s="1624"/>
      <c r="AF980" s="1624"/>
      <c r="AG980" s="1625"/>
      <c r="AH980"/>
      <c r="AI980"/>
      <c r="AJ980"/>
      <c r="AK980"/>
      <c r="AL980"/>
      <c r="AM980"/>
      <c r="AN980"/>
      <c r="AO980"/>
      <c r="AP980"/>
      <c r="AQ980"/>
      <c r="AR980"/>
      <c r="AS980"/>
      <c r="AT980"/>
      <c r="AU980" s="68"/>
      <c r="AV980"/>
      <c r="AW980"/>
      <c r="AX980"/>
      <c r="AY980"/>
      <c r="AZ980" s="34"/>
      <c r="BA980"/>
      <c r="BB980" s="34"/>
      <c r="BC980" s="34"/>
      <c r="BD980" s="34"/>
      <c r="BE980" s="34"/>
      <c r="BF980"/>
      <c r="BG980"/>
      <c r="BH980"/>
      <c r="BI980"/>
      <c r="BJ980" s="34"/>
      <c r="BK980" s="34"/>
      <c r="BL980" s="34"/>
    </row>
    <row r="981" spans="1:64" s="14" customFormat="1" ht="12.95" customHeight="1">
      <c r="A981"/>
      <c r="B981"/>
      <c r="C981"/>
      <c r="D981"/>
      <c r="E981"/>
      <c r="F981" s="242" t="s">
        <v>880</v>
      </c>
      <c r="G981" s="42"/>
      <c r="H981" s="42"/>
      <c r="I981" s="42"/>
      <c r="J981" s="42"/>
      <c r="K981" s="42"/>
      <c r="L981" s="58"/>
      <c r="M981" s="1666" t="s">
        <v>307</v>
      </c>
      <c r="N981" s="1667"/>
      <c r="O981" s="1667"/>
      <c r="P981" s="1667"/>
      <c r="Q981" s="1667"/>
      <c r="R981" s="1667"/>
      <c r="S981" s="1668"/>
      <c r="T981" s="1647"/>
      <c r="U981" s="1648"/>
      <c r="V981" s="1648"/>
      <c r="W981" s="1648"/>
      <c r="X981" s="1648"/>
      <c r="Y981" s="1648"/>
      <c r="Z981" s="1649"/>
      <c r="AA981" s="1623"/>
      <c r="AB981" s="1624"/>
      <c r="AC981" s="1624"/>
      <c r="AD981" s="1624"/>
      <c r="AE981" s="1624"/>
      <c r="AF981" s="1624"/>
      <c r="AG981" s="1625"/>
      <c r="AH981"/>
      <c r="AI981"/>
      <c r="AJ981"/>
      <c r="AK981"/>
      <c r="AL981"/>
      <c r="AM981"/>
      <c r="AN981"/>
      <c r="AO981"/>
      <c r="AP981"/>
      <c r="AQ981"/>
      <c r="AR981"/>
      <c r="AS981"/>
      <c r="AT981"/>
      <c r="AU981" s="68"/>
      <c r="AV981"/>
      <c r="AW981"/>
      <c r="AX981"/>
      <c r="AY981"/>
      <c r="AZ981" s="34"/>
      <c r="BA981" s="34"/>
      <c r="BB981" s="34"/>
      <c r="BC981" s="34"/>
      <c r="BD981" s="34"/>
      <c r="BE981" s="34"/>
      <c r="BF981" s="34"/>
      <c r="BG981" s="34"/>
      <c r="BH981" s="34"/>
      <c r="BI981" s="34"/>
      <c r="BJ981" s="34"/>
      <c r="BK981" s="34"/>
      <c r="BL981" s="34"/>
    </row>
    <row r="982" spans="1:64" s="14" customFormat="1" ht="12.95" customHeight="1">
      <c r="A982"/>
      <c r="B982"/>
      <c r="C982"/>
      <c r="D982"/>
      <c r="E982"/>
      <c r="F982" s="41" t="s">
        <v>465</v>
      </c>
      <c r="G982" s="42"/>
      <c r="H982" s="42"/>
      <c r="I982" s="42"/>
      <c r="J982" s="42"/>
      <c r="K982" s="42"/>
      <c r="L982" s="58"/>
      <c r="M982" s="1623"/>
      <c r="N982" s="1624"/>
      <c r="O982" s="1624"/>
      <c r="P982" s="1624"/>
      <c r="Q982" s="1624"/>
      <c r="R982" s="1624"/>
      <c r="S982" s="1625"/>
      <c r="T982" s="1647"/>
      <c r="U982" s="1648"/>
      <c r="V982" s="1648"/>
      <c r="W982" s="1648"/>
      <c r="X982" s="1648"/>
      <c r="Y982" s="1648"/>
      <c r="Z982" s="1649"/>
      <c r="AA982" s="1623"/>
      <c r="AB982" s="1624"/>
      <c r="AC982" s="1624"/>
      <c r="AD982" s="1624"/>
      <c r="AE982" s="1624"/>
      <c r="AF982" s="1624"/>
      <c r="AG982" s="1625"/>
      <c r="AH982"/>
      <c r="AI982"/>
      <c r="AJ982"/>
      <c r="AK982"/>
      <c r="AL982"/>
      <c r="AM982"/>
      <c r="AN982"/>
      <c r="AO982"/>
      <c r="AP982"/>
      <c r="AQ982"/>
      <c r="AR982"/>
      <c r="AS982"/>
      <c r="AT982"/>
      <c r="AU982" s="68"/>
      <c r="AV982"/>
      <c r="AW982"/>
      <c r="AX982"/>
      <c r="AY982"/>
      <c r="AZ982" s="34"/>
      <c r="BA982" s="34"/>
      <c r="BB982" s="34"/>
      <c r="BC982" s="34"/>
      <c r="BD982" s="34"/>
      <c r="BE982" s="34"/>
      <c r="BF982" s="34"/>
      <c r="BG982" s="34"/>
      <c r="BH982" s="34"/>
      <c r="BI982" s="34"/>
      <c r="BJ982" s="34"/>
      <c r="BK982" s="34"/>
      <c r="BL982" s="34"/>
    </row>
    <row r="983" spans="1:64" ht="12.95" customHeight="1">
      <c r="F983" s="41" t="s">
        <v>336</v>
      </c>
      <c r="G983" s="42"/>
      <c r="H983" s="42"/>
      <c r="I983" s="42"/>
      <c r="J983" s="42"/>
      <c r="K983" s="42"/>
      <c r="L983" s="42"/>
      <c r="M983" s="42"/>
      <c r="N983" s="42"/>
      <c r="O983" s="1404" t="s">
        <v>669</v>
      </c>
      <c r="P983" s="1400"/>
      <c r="Q983" s="92"/>
      <c r="R983" s="92"/>
      <c r="S983" s="93"/>
      <c r="T983" s="41" t="s">
        <v>170</v>
      </c>
      <c r="U983" s="42"/>
      <c r="V983" s="42"/>
      <c r="W983" s="1738" t="s">
        <v>334</v>
      </c>
      <c r="X983" s="1739"/>
      <c r="Y983" s="1739"/>
      <c r="Z983" s="1739"/>
      <c r="AA983" s="1739"/>
      <c r="AB983" s="1739"/>
      <c r="AC983" s="1739"/>
      <c r="AD983" s="1739"/>
      <c r="AE983" s="1739"/>
      <c r="AF983" s="1739"/>
      <c r="AG983" s="1740"/>
      <c r="AU983" s="68"/>
      <c r="AV983" s="95"/>
      <c r="AW983" s="95"/>
      <c r="AX983" s="95"/>
      <c r="AY983" s="95"/>
      <c r="AZ983" s="34"/>
      <c r="BB983" s="34"/>
      <c r="BC983" s="34"/>
      <c r="BD983" s="34"/>
      <c r="BE983" s="34"/>
      <c r="BF983" s="34"/>
      <c r="BG983" s="34"/>
      <c r="BH983" s="34"/>
      <c r="BI983" s="34"/>
      <c r="BJ983" s="34"/>
      <c r="BK983" s="34"/>
      <c r="BL983" s="34"/>
    </row>
    <row r="984" spans="1:64" ht="12.95" customHeight="1">
      <c r="F984" s="1530" t="s">
        <v>33</v>
      </c>
      <c r="G984" s="1314"/>
      <c r="H984" s="1314"/>
      <c r="I984" s="1314"/>
      <c r="J984" s="1314"/>
      <c r="K984" s="1314"/>
      <c r="L984" s="1314"/>
      <c r="M984" s="1623"/>
      <c r="N984" s="1624"/>
      <c r="O984" s="1624"/>
      <c r="P984" s="1624"/>
      <c r="Q984" s="1624"/>
      <c r="R984" s="1624"/>
      <c r="S984" s="1625"/>
      <c r="T984" s="47"/>
      <c r="U984" s="48"/>
      <c r="V984" s="48"/>
      <c r="W984" s="48"/>
      <c r="X984" s="48"/>
      <c r="Y984" s="48"/>
      <c r="Z984" s="124" t="s">
        <v>134</v>
      </c>
      <c r="AA984" s="1708"/>
      <c r="AB984" s="1709"/>
      <c r="AC984" s="1709"/>
      <c r="AD984" s="1709"/>
      <c r="AE984" s="1709"/>
      <c r="AF984" s="1709"/>
      <c r="AG984" s="1710"/>
      <c r="AU984" s="68"/>
      <c r="AV984" s="95"/>
      <c r="AW984" s="95"/>
      <c r="AX984" s="95"/>
      <c r="AY984" s="95"/>
      <c r="AZ984" s="14"/>
      <c r="BA984" s="14"/>
      <c r="BB984" s="34"/>
      <c r="BC984" s="34"/>
      <c r="BD984" s="34"/>
      <c r="BE984" s="34"/>
      <c r="BF984" s="34"/>
      <c r="BG984" s="14"/>
      <c r="BH984" s="14"/>
      <c r="BI984" s="14"/>
      <c r="BJ984" s="14"/>
      <c r="BK984" s="14"/>
      <c r="BL984" s="14"/>
    </row>
    <row r="985" spans="1:64" ht="12.95" customHeight="1">
      <c r="AU985" s="68"/>
      <c r="AV985" s="68"/>
      <c r="AW985" s="68"/>
      <c r="AX985" s="68"/>
      <c r="AY985" s="68"/>
      <c r="AZ985" s="14"/>
      <c r="BA985" s="14"/>
      <c r="BB985" s="14"/>
      <c r="BC985" s="14"/>
      <c r="BD985" s="14"/>
      <c r="BE985" s="14"/>
      <c r="BF985" s="14"/>
      <c r="BG985" s="1577"/>
      <c r="BH985" s="1577"/>
      <c r="BI985" s="1577"/>
      <c r="BJ985" s="1577"/>
      <c r="BK985" s="1577"/>
      <c r="BL985" s="1577"/>
    </row>
    <row r="986" spans="1:64" ht="12.95" customHeight="1">
      <c r="AU986" s="68"/>
      <c r="AV986" s="68"/>
      <c r="AW986" s="68"/>
      <c r="AX986" s="68"/>
      <c r="AY986" s="68"/>
      <c r="AZ986" s="14"/>
      <c r="BA986" s="14"/>
      <c r="BB986" s="908"/>
      <c r="BC986" s="908"/>
      <c r="BD986" s="14"/>
      <c r="BE986" s="14"/>
      <c r="BF986" s="14"/>
      <c r="BG986" s="14"/>
      <c r="BH986" s="14"/>
      <c r="BI986" s="14"/>
      <c r="BJ986" s="14"/>
      <c r="BK986" s="14"/>
      <c r="BL986" s="14"/>
    </row>
    <row r="987" spans="1:64" ht="12.95" customHeight="1">
      <c r="AU987" s="68"/>
      <c r="AV987" s="68"/>
      <c r="AW987" s="68"/>
      <c r="AX987" s="68"/>
      <c r="AY987" s="68"/>
      <c r="AZ987" s="14"/>
      <c r="BA987" s="14"/>
      <c r="BB987" s="908"/>
      <c r="BC987" s="908"/>
    </row>
    <row r="988" spans="1:64" ht="12.95" customHeight="1">
      <c r="A988" s="1457" t="s">
        <v>548</v>
      </c>
      <c r="B988" s="1457"/>
      <c r="C988" s="1457"/>
      <c r="D988" s="1457"/>
      <c r="E988" s="1457"/>
      <c r="F988" s="1457"/>
      <c r="G988" s="1457"/>
      <c r="H988" s="1457"/>
      <c r="I988" s="1457"/>
      <c r="J988" s="1457"/>
      <c r="K988" s="1457"/>
      <c r="L988" s="1457"/>
      <c r="M988" s="1457"/>
      <c r="N988" s="1457"/>
      <c r="O988" s="1457"/>
      <c r="P988" s="1457"/>
      <c r="Q988" s="1457"/>
      <c r="R988" s="1457"/>
      <c r="S988" s="1457"/>
      <c r="T988" s="1457"/>
      <c r="U988" s="1457"/>
      <c r="V988" s="1457"/>
      <c r="W988" s="1457"/>
      <c r="X988" s="1457"/>
      <c r="Y988" s="1457"/>
      <c r="Z988" s="1457"/>
      <c r="AA988" s="1457"/>
      <c r="AB988" s="1457"/>
      <c r="AC988" s="1457"/>
      <c r="AD988" s="1457"/>
      <c r="AE988" s="1457"/>
      <c r="AF988" s="1457"/>
      <c r="AG988" s="1457"/>
      <c r="AH988" s="1457"/>
      <c r="AI988" s="1457"/>
      <c r="AJ988" s="1457"/>
      <c r="AK988" s="1457"/>
      <c r="AL988" s="1457"/>
      <c r="AM988" s="1457"/>
      <c r="AN988" s="1457"/>
      <c r="AO988" s="1457"/>
      <c r="AP988" s="1457"/>
      <c r="AQ988" s="1457"/>
      <c r="AR988" s="1457"/>
      <c r="AS988" s="1457"/>
      <c r="AT988" s="1457"/>
      <c r="AU988" s="68"/>
      <c r="AV988" s="68"/>
      <c r="AW988" s="68"/>
      <c r="AX988" s="68"/>
      <c r="AY988" s="68"/>
      <c r="AZ988" s="14"/>
      <c r="BA988" s="14"/>
      <c r="BB988" s="908"/>
      <c r="BC988" s="908"/>
    </row>
    <row r="989" spans="1:64" ht="12.95" customHeight="1">
      <c r="A989" s="1457"/>
      <c r="B989" s="1457"/>
      <c r="C989" s="1457"/>
      <c r="D989" s="1457"/>
      <c r="E989" s="1457"/>
      <c r="F989" s="1457"/>
      <c r="G989" s="1457"/>
      <c r="H989" s="1457"/>
      <c r="I989" s="1457"/>
      <c r="J989" s="1457"/>
      <c r="K989" s="1457"/>
      <c r="L989" s="1457"/>
      <c r="M989" s="1457"/>
      <c r="N989" s="1457"/>
      <c r="O989" s="1457"/>
      <c r="P989" s="1457"/>
      <c r="Q989" s="1457"/>
      <c r="R989" s="1457"/>
      <c r="S989" s="1457"/>
      <c r="T989" s="1457"/>
      <c r="U989" s="1457"/>
      <c r="V989" s="1457"/>
      <c r="W989" s="1457"/>
      <c r="X989" s="1457"/>
      <c r="Y989" s="1457"/>
      <c r="Z989" s="1457"/>
      <c r="AA989" s="1457"/>
      <c r="AB989" s="1457"/>
      <c r="AC989" s="1457"/>
      <c r="AD989" s="1457"/>
      <c r="AE989" s="1457"/>
      <c r="AF989" s="1457"/>
      <c r="AG989" s="1457"/>
      <c r="AH989" s="1457"/>
      <c r="AI989" s="1457"/>
      <c r="AJ989" s="1457"/>
      <c r="AK989" s="1457"/>
      <c r="AL989" s="1457"/>
      <c r="AM989" s="1457"/>
      <c r="AN989" s="1457"/>
      <c r="AO989" s="1457"/>
      <c r="AP989" s="1457"/>
      <c r="AQ989" s="1457"/>
      <c r="AR989" s="1457"/>
      <c r="AS989" s="1457"/>
      <c r="AT989" s="1457"/>
      <c r="AU989" s="68"/>
      <c r="AV989" s="68"/>
      <c r="AW989" s="68"/>
      <c r="AX989" s="68"/>
      <c r="AY989" s="68"/>
      <c r="AZ989" s="30"/>
      <c r="BA989" s="14"/>
      <c r="BB989" s="14"/>
      <c r="BC989" s="14"/>
    </row>
    <row r="990" spans="1:64" ht="12.95" customHeight="1">
      <c r="A990" s="1457"/>
      <c r="B990" s="1457"/>
      <c r="C990" s="1457"/>
      <c r="D990" s="1457"/>
      <c r="E990" s="1457"/>
      <c r="F990" s="1457"/>
      <c r="G990" s="1457"/>
      <c r="H990" s="1457"/>
      <c r="I990" s="1457"/>
      <c r="J990" s="1457"/>
      <c r="K990" s="1457"/>
      <c r="L990" s="1457"/>
      <c r="M990" s="1457"/>
      <c r="N990" s="1457"/>
      <c r="O990" s="1457"/>
      <c r="P990" s="1457"/>
      <c r="Q990" s="1457"/>
      <c r="R990" s="1457"/>
      <c r="S990" s="1457"/>
      <c r="T990" s="1457"/>
      <c r="U990" s="1457"/>
      <c r="V990" s="1457"/>
      <c r="W990" s="1457"/>
      <c r="X990" s="1457"/>
      <c r="Y990" s="1457"/>
      <c r="Z990" s="1457"/>
      <c r="AA990" s="1457"/>
      <c r="AB990" s="1457"/>
      <c r="AC990" s="1457"/>
      <c r="AD990" s="1457"/>
      <c r="AE990" s="1457"/>
      <c r="AF990" s="1457"/>
      <c r="AG990" s="1457"/>
      <c r="AH990" s="1457"/>
      <c r="AI990" s="1457"/>
      <c r="AJ990" s="1457"/>
      <c r="AK990" s="1457"/>
      <c r="AL990" s="1457"/>
      <c r="AM990" s="1457"/>
      <c r="AN990" s="1457"/>
      <c r="AO990" s="1457"/>
      <c r="AP990" s="1457"/>
      <c r="AQ990" s="1457"/>
      <c r="AR990" s="1457"/>
      <c r="AS990" s="1457"/>
      <c r="AT990" s="1457"/>
      <c r="AU990" s="68"/>
      <c r="AV990" s="68"/>
      <c r="AW990" s="68"/>
      <c r="AX990" s="68"/>
      <c r="AY990" s="68"/>
      <c r="AZ990" s="30"/>
      <c r="BA990" s="14"/>
      <c r="BB990" s="14"/>
      <c r="BC990" s="14"/>
    </row>
    <row r="991" spans="1:64" ht="12.95" customHeight="1">
      <c r="A991" s="14"/>
      <c r="B991" s="14"/>
      <c r="C991" s="14"/>
      <c r="I991" s="14"/>
      <c r="J991" s="14"/>
      <c r="K991" s="14"/>
      <c r="L991" s="14"/>
      <c r="M991" s="14"/>
      <c r="N991" s="14"/>
      <c r="O991" s="14"/>
      <c r="P991" s="14"/>
      <c r="Q991" s="14"/>
      <c r="R991" s="14"/>
      <c r="S991" s="14"/>
      <c r="T991" s="14"/>
      <c r="U991" s="14"/>
      <c r="V991" s="14"/>
      <c r="W991" s="14"/>
      <c r="X991" s="14"/>
      <c r="Y991" s="14"/>
      <c r="Z991" s="14"/>
      <c r="AA991" s="14"/>
      <c r="AB991" s="14"/>
      <c r="AC991" s="14"/>
      <c r="AD991" s="14"/>
      <c r="AE991" s="14"/>
      <c r="AF991" s="14"/>
      <c r="AG991" s="14"/>
      <c r="AH991" s="14"/>
      <c r="AI991" s="14"/>
      <c r="AJ991" s="14"/>
      <c r="AK991" s="14"/>
      <c r="AL991" s="68"/>
      <c r="AM991" s="68"/>
      <c r="AN991" s="68"/>
      <c r="AO991" s="68"/>
      <c r="AP991" s="68"/>
      <c r="AQ991" s="68"/>
      <c r="AR991" s="68"/>
      <c r="AS991" s="68"/>
      <c r="AT991" s="68"/>
      <c r="AU991" s="68"/>
      <c r="AV991" s="68"/>
      <c r="AW991" s="68"/>
      <c r="AX991" s="68"/>
      <c r="AY991" s="68"/>
      <c r="AZ991" s="14"/>
      <c r="BA991" s="14"/>
      <c r="BB991" s="14"/>
      <c r="BC991" s="14"/>
    </row>
    <row r="992" spans="1:64" ht="12.95" customHeight="1">
      <c r="A992" s="2" t="s">
        <v>319</v>
      </c>
      <c r="C992" s="2" t="s">
        <v>615</v>
      </c>
      <c r="I992" s="14"/>
      <c r="J992" s="14"/>
      <c r="K992" s="14"/>
      <c r="L992" s="14"/>
      <c r="M992" s="14"/>
      <c r="N992" s="14"/>
      <c r="O992" s="14"/>
      <c r="P992" s="14"/>
      <c r="Q992" s="14"/>
      <c r="R992" s="14"/>
      <c r="S992" s="14"/>
      <c r="T992" s="14"/>
      <c r="U992" s="14"/>
      <c r="V992" s="14"/>
      <c r="W992" s="14"/>
      <c r="X992" s="14"/>
      <c r="Y992" s="14"/>
      <c r="Z992" s="14"/>
      <c r="AA992" s="14"/>
      <c r="AB992" s="14"/>
      <c r="AC992" s="14"/>
      <c r="AD992" s="14"/>
      <c r="AE992" s="14"/>
      <c r="AF992" s="14"/>
      <c r="AG992" s="14"/>
      <c r="AH992" s="14"/>
      <c r="AI992" s="14"/>
      <c r="AJ992" s="14"/>
      <c r="AK992" s="14"/>
      <c r="AL992" s="68"/>
      <c r="AM992" s="68"/>
      <c r="AN992" s="68"/>
      <c r="AO992" s="68"/>
      <c r="AP992" s="68"/>
      <c r="AQ992" s="68"/>
      <c r="AR992" s="68"/>
      <c r="AS992" s="68"/>
      <c r="AT992" s="68"/>
      <c r="AU992" s="68"/>
      <c r="AV992" s="68"/>
      <c r="AW992" s="68"/>
      <c r="AX992" s="68"/>
      <c r="AY992" s="68"/>
      <c r="AZ992" s="14"/>
      <c r="BA992" s="14"/>
      <c r="BB992" s="14"/>
      <c r="BC992" s="14"/>
    </row>
    <row r="993" spans="1:55" ht="12.95" customHeight="1">
      <c r="A993" s="2"/>
      <c r="C993" s="2"/>
      <c r="I993" s="14"/>
      <c r="J993" s="14"/>
      <c r="K993" s="14"/>
      <c r="L993" s="14"/>
      <c r="M993" s="14"/>
      <c r="N993" s="14"/>
      <c r="O993" s="14"/>
      <c r="P993" s="14"/>
      <c r="Q993" s="14"/>
      <c r="R993" s="14"/>
      <c r="S993" s="14"/>
      <c r="T993" s="14"/>
      <c r="U993" s="14"/>
      <c r="V993" s="14"/>
      <c r="W993" s="14"/>
      <c r="X993" s="14"/>
      <c r="Y993" s="14"/>
      <c r="Z993" s="14"/>
      <c r="AA993" s="14"/>
      <c r="AB993" s="14"/>
      <c r="AC993" s="14"/>
      <c r="AD993" s="14"/>
      <c r="AE993" s="14"/>
      <c r="AF993" s="14"/>
      <c r="AG993" s="14"/>
      <c r="AH993" s="14"/>
      <c r="AI993" s="14"/>
      <c r="AJ993" s="14"/>
      <c r="AK993" s="14"/>
      <c r="AL993" s="68"/>
      <c r="AM993" s="68"/>
      <c r="AN993" s="68"/>
      <c r="AO993" s="68"/>
      <c r="AP993" s="68"/>
      <c r="AQ993" s="68"/>
      <c r="AR993" s="68"/>
      <c r="AS993" s="68"/>
      <c r="AT993" s="68"/>
      <c r="AU993" s="68"/>
      <c r="AV993" s="68"/>
      <c r="AW993" s="68"/>
      <c r="AX993" s="68"/>
      <c r="AY993" s="68"/>
      <c r="AZ993" s="14"/>
      <c r="BA993" s="14"/>
      <c r="BB993" s="14"/>
      <c r="BC993" s="14"/>
    </row>
    <row r="994" spans="1:55" ht="12.95" customHeight="1">
      <c r="A994" s="67"/>
      <c r="B994" s="79"/>
      <c r="C994" s="924"/>
      <c r="D994" s="1734" t="s">
        <v>638</v>
      </c>
      <c r="E994" s="1735"/>
      <c r="F994" s="1735"/>
      <c r="G994" s="1735"/>
      <c r="H994" s="1735"/>
      <c r="I994" s="1735"/>
      <c r="J994" s="1735"/>
      <c r="K994" s="1735"/>
      <c r="L994" s="1735"/>
      <c r="M994" s="1735"/>
      <c r="N994" s="1735"/>
      <c r="O994" s="1735"/>
      <c r="P994" s="1735"/>
      <c r="Q994" s="1736"/>
      <c r="R994" s="1734" t="s">
        <v>639</v>
      </c>
      <c r="S994" s="1735"/>
      <c r="T994" s="1735"/>
      <c r="U994" s="1735"/>
      <c r="V994" s="1735"/>
      <c r="W994" s="1735"/>
      <c r="X994" s="1735"/>
      <c r="Y994" s="1735"/>
      <c r="Z994" s="1735"/>
      <c r="AA994" s="1736"/>
      <c r="AB994" s="1734" t="s">
        <v>640</v>
      </c>
      <c r="AC994" s="1735"/>
      <c r="AD994" s="1735"/>
      <c r="AE994" s="1735"/>
      <c r="AF994" s="1735"/>
      <c r="AG994" s="1735"/>
      <c r="AH994" s="1735"/>
      <c r="AI994" s="1736"/>
      <c r="AJ994" s="1734" t="s">
        <v>641</v>
      </c>
      <c r="AK994" s="1735"/>
      <c r="AL994" s="1735"/>
      <c r="AM994" s="1735"/>
      <c r="AN994" s="1735"/>
      <c r="AO994" s="1735"/>
      <c r="AP994" s="1735"/>
      <c r="AQ994" s="1736"/>
      <c r="AR994" s="68"/>
      <c r="AS994" s="68"/>
      <c r="AT994" s="68"/>
      <c r="AU994" s="68"/>
      <c r="AV994" s="68"/>
      <c r="AW994" s="68"/>
      <c r="AX994" s="68"/>
      <c r="AY994" s="68"/>
      <c r="AZ994" s="30"/>
      <c r="BB994" s="14"/>
      <c r="BC994" s="14"/>
    </row>
    <row r="995" spans="1:55" ht="12.95" customHeight="1">
      <c r="A995" s="14"/>
      <c r="B995" s="73"/>
      <c r="C995" s="925"/>
      <c r="D995" s="1610" t="s">
        <v>633</v>
      </c>
      <c r="E995" s="1611"/>
      <c r="F995" s="1611"/>
      <c r="G995" s="1611"/>
      <c r="H995" s="1611"/>
      <c r="I995" s="1611"/>
      <c r="J995" s="1611"/>
      <c r="K995" s="1611"/>
      <c r="L995" s="1611"/>
      <c r="M995" s="1611"/>
      <c r="N995" s="1611"/>
      <c r="O995" s="1611"/>
      <c r="P995" s="1611"/>
      <c r="Q995" s="1612"/>
      <c r="R995" s="1665">
        <f>IF(ISNA(IF($CU$122="4%",(INDEX($CS$160:$CW$217,MATCH($DG$122,$CR$160:$CR$217,0),MATCH(D995,$CS$159:$CW$159,0))),(INDEX($CZ$160:$DD$217,MATCH($DG$122,$CY$160:$CY$217,0),MATCH(D995,$CZ$159:$DD$159,0))))),0,IF($CU$122="4%",(INDEX($CS$160:$CW$217,MATCH($DG$122,$CR$160:$CR$217,0),MATCH(D995,$CS$159:$CW$159,0))),(INDEX($CZ$160:$DD$217,MATCH($DG$122,$CY$160:$CY$217,0),MATCH(D995,$CZ$159:$DD$159,0)))))</f>
        <v>491221</v>
      </c>
      <c r="S995" s="1665"/>
      <c r="T995" s="1665"/>
      <c r="U995" s="1665"/>
      <c r="V995" s="1665"/>
      <c r="W995" s="1665"/>
      <c r="X995" s="1665"/>
      <c r="Y995" s="1665"/>
      <c r="Z995" s="1665"/>
      <c r="AA995" s="1665"/>
      <c r="AB995" s="1662">
        <f>CP810</f>
        <v>1</v>
      </c>
      <c r="AC995" s="1663"/>
      <c r="AD995" s="1663"/>
      <c r="AE995" s="1663"/>
      <c r="AF995" s="1663"/>
      <c r="AG995" s="1663"/>
      <c r="AH995" s="1663"/>
      <c r="AI995" s="1664"/>
      <c r="AJ995" s="1634">
        <f>IF(ISERROR((R995*AB995)),0,(R995*AB995))</f>
        <v>491221</v>
      </c>
      <c r="AK995" s="1635"/>
      <c r="AL995" s="1635"/>
      <c r="AM995" s="1635"/>
      <c r="AN995" s="1635"/>
      <c r="AO995" s="1635"/>
      <c r="AP995" s="1635"/>
      <c r="AQ995" s="1636"/>
      <c r="AR995" s="68"/>
      <c r="AS995" s="68"/>
      <c r="AT995" s="68"/>
      <c r="AU995" s="68"/>
      <c r="AV995" s="68"/>
      <c r="AW995" s="68"/>
      <c r="AX995" s="68"/>
      <c r="AY995" s="68"/>
      <c r="AZ995" s="30"/>
      <c r="BB995" s="14"/>
      <c r="BC995" s="14"/>
    </row>
    <row r="996" spans="1:55" ht="12.95" customHeight="1">
      <c r="A996" s="14"/>
      <c r="B996" s="73"/>
      <c r="C996" s="83"/>
      <c r="D996" s="1610" t="s">
        <v>325</v>
      </c>
      <c r="E996" s="1611"/>
      <c r="F996" s="1611"/>
      <c r="G996" s="1611"/>
      <c r="H996" s="1611"/>
      <c r="I996" s="1611"/>
      <c r="J996" s="1611"/>
      <c r="K996" s="1611"/>
      <c r="L996" s="1611"/>
      <c r="M996" s="1611"/>
      <c r="N996" s="1611"/>
      <c r="O996" s="1611"/>
      <c r="P996" s="1611"/>
      <c r="Q996" s="1612"/>
      <c r="R996" s="1665">
        <f>IF(ISNA(IF($CU$122="4%",(INDEX($CS$160:$CW$217,MATCH($DG$122,$CR$160:$CR$217,0),MATCH(D996,$CS$159:$CW$159,0))),(INDEX($CZ$160:$DD$217,MATCH($DG$122,$CY$160:$CY$217,0),MATCH(D996,$CZ$159:$DD$159,0))))),0,IF($CU$122="4%",(INDEX($CS$160:$CW$217,MATCH($DG$122,$CR$160:$CR$217,0),MATCH(D996,$CS$159:$CW$159,0))),(INDEX($CZ$160:$DD$217,MATCH($DG$122,$CY$160:$CY$217,0),MATCH(D996,$CZ$159:$DD$159,0)))))</f>
        <v>566373</v>
      </c>
      <c r="S996" s="1665"/>
      <c r="T996" s="1665"/>
      <c r="U996" s="1665"/>
      <c r="V996" s="1665"/>
      <c r="W996" s="1665"/>
      <c r="X996" s="1665"/>
      <c r="Y996" s="1665"/>
      <c r="Z996" s="1665"/>
      <c r="AA996" s="1665"/>
      <c r="AB996" s="1662">
        <f>CU810</f>
        <v>41</v>
      </c>
      <c r="AC996" s="1663"/>
      <c r="AD996" s="1663"/>
      <c r="AE996" s="1663"/>
      <c r="AF996" s="1663"/>
      <c r="AG996" s="1663"/>
      <c r="AH996" s="1663"/>
      <c r="AI996" s="1664"/>
      <c r="AJ996" s="1634">
        <f>IF(ISERROR((R996*AB996)),0,(R996*AB996))</f>
        <v>23221293</v>
      </c>
      <c r="AK996" s="1635"/>
      <c r="AL996" s="1635"/>
      <c r="AM996" s="1635"/>
      <c r="AN996" s="1635"/>
      <c r="AO996" s="1635"/>
      <c r="AP996" s="1635"/>
      <c r="AQ996" s="1636"/>
      <c r="AR996" s="68"/>
      <c r="AS996" s="68"/>
      <c r="AT996" s="68"/>
      <c r="AU996" s="68"/>
      <c r="AV996" s="68"/>
      <c r="AW996" s="68"/>
      <c r="AX996" s="68"/>
      <c r="AY996" s="68"/>
      <c r="AZ996" s="30"/>
      <c r="BB996" s="14"/>
      <c r="BC996" s="14"/>
    </row>
    <row r="997" spans="1:55" ht="12.95" customHeight="1">
      <c r="A997" s="14"/>
      <c r="B997" s="73"/>
      <c r="C997" s="83"/>
      <c r="D997" s="1610" t="s">
        <v>163</v>
      </c>
      <c r="E997" s="1611"/>
      <c r="F997" s="1611"/>
      <c r="G997" s="1611"/>
      <c r="H997" s="1611"/>
      <c r="I997" s="1611"/>
      <c r="J997" s="1611"/>
      <c r="K997" s="1611"/>
      <c r="L997" s="1611"/>
      <c r="M997" s="1611"/>
      <c r="N997" s="1611"/>
      <c r="O997" s="1611"/>
      <c r="P997" s="1611"/>
      <c r="Q997" s="1612"/>
      <c r="R997" s="1665">
        <f>IF(ISNA(IF($CU$122="4%",(INDEX($CS$160:$CW$217,MATCH($DG$122,$CR$160:$CR$217,0),MATCH(D997,$CS$159:$CW$159,0))),(INDEX($CZ$160:$DD$217,MATCH($DG$122,$CY$160:$CY$217,0),MATCH(D997,$CZ$159:$DD$159,0))))),0,IF($CU$122="4%",(INDEX($CS$160:$CW$217,MATCH($DG$122,$CR$160:$CR$217,0),MATCH(D997,$CS$159:$CW$159,0))),(INDEX($CZ$160:$DD$217,MATCH($DG$122,$CY$160:$CY$217,0),MATCH(D997,$CZ$159:$DD$159,0)))))</f>
        <v>683200</v>
      </c>
      <c r="S997" s="1665"/>
      <c r="T997" s="1665"/>
      <c r="U997" s="1665"/>
      <c r="V997" s="1665"/>
      <c r="W997" s="1665"/>
      <c r="X997" s="1665"/>
      <c r="Y997" s="1665"/>
      <c r="Z997" s="1665"/>
      <c r="AA997" s="1665"/>
      <c r="AB997" s="1662">
        <f>CZ810</f>
        <v>7</v>
      </c>
      <c r="AC997" s="1663"/>
      <c r="AD997" s="1663"/>
      <c r="AE997" s="1663"/>
      <c r="AF997" s="1663"/>
      <c r="AG997" s="1663"/>
      <c r="AH997" s="1663"/>
      <c r="AI997" s="1664"/>
      <c r="AJ997" s="1634">
        <f>IF(ISERROR((R997*AB997)),0,(R997*AB997))</f>
        <v>4782400</v>
      </c>
      <c r="AK997" s="1635"/>
      <c r="AL997" s="1635"/>
      <c r="AM997" s="1635"/>
      <c r="AN997" s="1635"/>
      <c r="AO997" s="1635"/>
      <c r="AP997" s="1635"/>
      <c r="AQ997" s="1636"/>
      <c r="AR997" s="68"/>
      <c r="AS997" s="68"/>
      <c r="AT997" s="68"/>
      <c r="AU997" s="68"/>
      <c r="AV997" s="68"/>
      <c r="AW997" s="68"/>
      <c r="AX997" s="68"/>
      <c r="AY997" s="68"/>
      <c r="AZ997" s="30"/>
      <c r="BB997" s="14"/>
      <c r="BC997" s="14"/>
    </row>
    <row r="998" spans="1:55" ht="12.95" customHeight="1">
      <c r="A998" s="14"/>
      <c r="B998" s="73"/>
      <c r="C998" s="83"/>
      <c r="D998" s="1610" t="s">
        <v>164</v>
      </c>
      <c r="E998" s="1611"/>
      <c r="F998" s="1611"/>
      <c r="G998" s="1611"/>
      <c r="H998" s="1611"/>
      <c r="I998" s="1611"/>
      <c r="J998" s="1611"/>
      <c r="K998" s="1611"/>
      <c r="L998" s="1611"/>
      <c r="M998" s="1611"/>
      <c r="N998" s="1611"/>
      <c r="O998" s="1611"/>
      <c r="P998" s="1611"/>
      <c r="Q998" s="1612"/>
      <c r="R998" s="1665">
        <f>IF(ISNA(IF($CU$122="4%",(INDEX($CS$160:$CW$217,MATCH($DG$122,$CR$160:$CR$217,0),MATCH(D998,$CS$159:$CW$159,0))),(INDEX($CZ$160:$DD$217,MATCH($DG$122,$CY$160:$CY$217,0),MATCH(D998,$CZ$159:$DD$159,0))))),0,IF($CU$122="4%",(INDEX($CS$160:$CW$217,MATCH($DG$122,$CR$160:$CR$217,0),MATCH(D998,$CS$159:$CW$159,0))),(INDEX($CZ$160:$DD$217,MATCH($DG$122,$CY$160:$CY$217,0),MATCH(D998,$CZ$159:$DD$159,0)))))</f>
        <v>874496</v>
      </c>
      <c r="S998" s="1665"/>
      <c r="T998" s="1665"/>
      <c r="U998" s="1665"/>
      <c r="V998" s="1665"/>
      <c r="W998" s="1665"/>
      <c r="X998" s="1665"/>
      <c r="Y998" s="1665"/>
      <c r="Z998" s="1665"/>
      <c r="AA998" s="1665"/>
      <c r="AB998" s="1662">
        <f>DE810</f>
        <v>0</v>
      </c>
      <c r="AC998" s="1663"/>
      <c r="AD998" s="1663"/>
      <c r="AE998" s="1663"/>
      <c r="AF998" s="1663"/>
      <c r="AG998" s="1663"/>
      <c r="AH998" s="1663"/>
      <c r="AI998" s="1664"/>
      <c r="AJ998" s="1634">
        <f>IF(ISERROR((R998*AB998)),0,(R998*AB998))</f>
        <v>0</v>
      </c>
      <c r="AK998" s="1635"/>
      <c r="AL998" s="1635"/>
      <c r="AM998" s="1635"/>
      <c r="AN998" s="1635"/>
      <c r="AO998" s="1635"/>
      <c r="AP998" s="1635"/>
      <c r="AQ998" s="1636"/>
      <c r="AR998" s="68"/>
      <c r="AS998" s="68"/>
      <c r="AT998" s="68"/>
      <c r="AU998" s="68"/>
      <c r="AV998" s="68"/>
      <c r="AW998" s="68"/>
      <c r="AX998" s="68"/>
      <c r="AY998" s="68"/>
      <c r="AZ998" s="30"/>
      <c r="BA998" s="34"/>
      <c r="BB998" s="14"/>
      <c r="BC998" s="14"/>
    </row>
    <row r="999" spans="1:55" ht="12.95" customHeight="1">
      <c r="A999" s="14"/>
      <c r="B999" s="47"/>
      <c r="C999" s="78"/>
      <c r="D999" s="1610" t="s">
        <v>460</v>
      </c>
      <c r="E999" s="1611"/>
      <c r="F999" s="1611"/>
      <c r="G999" s="1611"/>
      <c r="H999" s="1611"/>
      <c r="I999" s="1611"/>
      <c r="J999" s="1611"/>
      <c r="K999" s="1611"/>
      <c r="L999" s="1611"/>
      <c r="M999" s="1611"/>
      <c r="N999" s="1611"/>
      <c r="O999" s="1611"/>
      <c r="P999" s="1611"/>
      <c r="Q999" s="1612"/>
      <c r="R999" s="1665">
        <f>IF(ISNA(IF($CU$122="4%",(INDEX($CS$160:$CW$217,MATCH($DG$122,$CR$160:$CR$217,0),MATCH(D999,$CS$159:$CW$159,0))),(INDEX($CZ$160:$DD$217,MATCH($DG$122,$CY$160:$CY$217,0),MATCH(D999,$CZ$159:$DD$159,0))))),0,IF($CU$122="4%",(INDEX($CS$160:$CW$217,MATCH($DG$122,$CR$160:$CR$217,0),MATCH(D999,$CS$159:$CW$159,0))),(INDEX($CZ$160:$DD$217,MATCH($DG$122,$CY$160:$CY$217,0),MATCH(D999,$CZ$159:$DD$159,0)))))</f>
        <v>974243</v>
      </c>
      <c r="S999" s="1665"/>
      <c r="T999" s="1665"/>
      <c r="U999" s="1665"/>
      <c r="V999" s="1665"/>
      <c r="W999" s="1665"/>
      <c r="X999" s="1665"/>
      <c r="Y999" s="1665"/>
      <c r="Z999" s="1665"/>
      <c r="AA999" s="1665"/>
      <c r="AB999" s="1662">
        <f>DO810+DJ810</f>
        <v>0</v>
      </c>
      <c r="AC999" s="1663"/>
      <c r="AD999" s="1663"/>
      <c r="AE999" s="1663"/>
      <c r="AF999" s="1663"/>
      <c r="AG999" s="1663"/>
      <c r="AH999" s="1663"/>
      <c r="AI999" s="1664"/>
      <c r="AJ999" s="1634">
        <f>IF(ISERROR((R999*AB999)),0,(R999*AB999))</f>
        <v>0</v>
      </c>
      <c r="AK999" s="1635"/>
      <c r="AL999" s="1635"/>
      <c r="AM999" s="1635"/>
      <c r="AN999" s="1635"/>
      <c r="AO999" s="1635"/>
      <c r="AP999" s="1635"/>
      <c r="AQ999" s="1636"/>
      <c r="AR999" s="68"/>
      <c r="AS999" s="68"/>
      <c r="AT999" s="68"/>
      <c r="AU999" s="68"/>
      <c r="AV999" s="68"/>
      <c r="AW999" s="68"/>
      <c r="AX999" s="68"/>
      <c r="AY999" s="68"/>
      <c r="AZ999" s="30"/>
      <c r="BB999" s="14"/>
      <c r="BC999" s="14"/>
    </row>
    <row r="1000" spans="1:55" ht="12.95" customHeight="1">
      <c r="A1000" s="14"/>
      <c r="B1000" s="1693" t="s">
        <v>791</v>
      </c>
      <c r="C1000" s="1694"/>
      <c r="D1000" s="1694"/>
      <c r="E1000" s="1694"/>
      <c r="F1000" s="1694"/>
      <c r="G1000" s="1694"/>
      <c r="H1000" s="1694"/>
      <c r="I1000" s="1694"/>
      <c r="J1000" s="1694"/>
      <c r="K1000" s="1694"/>
      <c r="L1000" s="1694"/>
      <c r="M1000" s="1694"/>
      <c r="N1000" s="1694"/>
      <c r="O1000" s="1694"/>
      <c r="P1000" s="1694"/>
      <c r="Q1000" s="1694"/>
      <c r="R1000" s="1694"/>
      <c r="S1000" s="1694"/>
      <c r="T1000" s="1694"/>
      <c r="U1000" s="1694"/>
      <c r="V1000" s="1694"/>
      <c r="W1000" s="1694"/>
      <c r="X1000" s="1694"/>
      <c r="Y1000" s="1694"/>
      <c r="Z1000" s="1694"/>
      <c r="AA1000" s="1695"/>
      <c r="AB1000" s="1662">
        <f>SUM(AB995:AI999)</f>
        <v>49</v>
      </c>
      <c r="AC1000" s="1663"/>
      <c r="AD1000" s="1663"/>
      <c r="AE1000" s="1663"/>
      <c r="AF1000" s="1663"/>
      <c r="AG1000" s="1663"/>
      <c r="AH1000" s="1663"/>
      <c r="AI1000" s="1664"/>
      <c r="AJ1000" s="1634"/>
      <c r="AK1000" s="1635"/>
      <c r="AL1000" s="1635"/>
      <c r="AM1000" s="1635"/>
      <c r="AN1000" s="1635"/>
      <c r="AO1000" s="1635"/>
      <c r="AP1000" s="1635"/>
      <c r="AQ1000" s="1636"/>
      <c r="AR1000" s="68"/>
      <c r="AS1000" s="68"/>
      <c r="AT1000" s="68"/>
      <c r="AU1000" s="68"/>
      <c r="AV1000" s="68"/>
      <c r="AW1000" s="68"/>
      <c r="AX1000" s="68"/>
      <c r="AY1000" s="68"/>
      <c r="AZ1000" s="34"/>
      <c r="BA1000" s="34"/>
      <c r="BB1000" s="14"/>
      <c r="BC1000" s="14"/>
    </row>
    <row r="1001" spans="1:55" ht="12.95" customHeight="1">
      <c r="A1001" s="14"/>
      <c r="B1001" s="1687" t="s">
        <v>512</v>
      </c>
      <c r="C1001" s="1688"/>
      <c r="D1001" s="1688"/>
      <c r="E1001" s="1688"/>
      <c r="F1001" s="1688"/>
      <c r="G1001" s="1688"/>
      <c r="H1001" s="1688"/>
      <c r="I1001" s="1688"/>
      <c r="J1001" s="1688"/>
      <c r="K1001" s="1688"/>
      <c r="L1001" s="1688"/>
      <c r="M1001" s="1688"/>
      <c r="N1001" s="1688"/>
      <c r="O1001" s="1688"/>
      <c r="P1001" s="1688"/>
      <c r="Q1001" s="1688"/>
      <c r="R1001" s="1688"/>
      <c r="S1001" s="1688"/>
      <c r="T1001" s="1688"/>
      <c r="U1001" s="1688"/>
      <c r="V1001" s="1688"/>
      <c r="W1001" s="1688"/>
      <c r="X1001" s="1688"/>
      <c r="Y1001" s="1688"/>
      <c r="Z1001" s="1688"/>
      <c r="AA1001" s="1688"/>
      <c r="AB1001" s="1688"/>
      <c r="AC1001" s="1688"/>
      <c r="AD1001" s="1688"/>
      <c r="AE1001" s="1688"/>
      <c r="AF1001" s="1688"/>
      <c r="AG1001" s="1688"/>
      <c r="AH1001" s="1688"/>
      <c r="AI1001" s="1689"/>
      <c r="AJ1001" s="1634">
        <f>SUM(AJ995:AQ999)</f>
        <v>28494914</v>
      </c>
      <c r="AK1001" s="1635"/>
      <c r="AL1001" s="1635"/>
      <c r="AM1001" s="1635"/>
      <c r="AN1001" s="1635"/>
      <c r="AO1001" s="1635"/>
      <c r="AP1001" s="1635"/>
      <c r="AQ1001" s="1636"/>
      <c r="AR1001" s="68"/>
      <c r="AS1001" s="68"/>
      <c r="AT1001" s="68"/>
      <c r="AU1001" s="68"/>
      <c r="AV1001" s="68"/>
      <c r="AW1001" s="68"/>
      <c r="AX1001" s="68"/>
      <c r="AY1001" s="68"/>
      <c r="AZ1001" s="34"/>
      <c r="BB1001" s="34"/>
      <c r="BC1001" s="34"/>
    </row>
    <row r="1002" spans="1:55" ht="12.95" customHeight="1">
      <c r="A1002" s="14"/>
      <c r="B1002" s="1684"/>
      <c r="C1002" s="1685"/>
      <c r="D1002" s="1685"/>
      <c r="E1002" s="1685"/>
      <c r="F1002" s="1685"/>
      <c r="G1002" s="1685"/>
      <c r="H1002" s="1685"/>
      <c r="I1002" s="1685"/>
      <c r="J1002" s="1685"/>
      <c r="K1002" s="1685"/>
      <c r="L1002" s="1685"/>
      <c r="M1002" s="1685"/>
      <c r="N1002" s="1685"/>
      <c r="O1002" s="1685"/>
      <c r="P1002" s="1685"/>
      <c r="Q1002" s="1685"/>
      <c r="R1002" s="1685"/>
      <c r="S1002" s="1685"/>
      <c r="T1002" s="1685"/>
      <c r="U1002" s="1685"/>
      <c r="V1002" s="1685"/>
      <c r="W1002" s="1685"/>
      <c r="X1002" s="1685"/>
      <c r="Y1002" s="1685"/>
      <c r="Z1002" s="1685"/>
      <c r="AA1002" s="1685"/>
      <c r="AB1002" s="1685"/>
      <c r="AC1002" s="1685"/>
      <c r="AD1002" s="1685"/>
      <c r="AE1002" s="1686"/>
      <c r="AF1002" s="1711" t="s">
        <v>666</v>
      </c>
      <c r="AG1002" s="1712"/>
      <c r="AH1002" s="1712"/>
      <c r="AI1002" s="1713"/>
      <c r="AJ1002" s="1684"/>
      <c r="AK1002" s="1685"/>
      <c r="AL1002" s="1685"/>
      <c r="AM1002" s="1685"/>
      <c r="AN1002" s="1685"/>
      <c r="AO1002" s="1685"/>
      <c r="AP1002" s="1685"/>
      <c r="AQ1002" s="1686"/>
      <c r="AR1002" s="68"/>
      <c r="AS1002" s="68"/>
      <c r="AT1002" s="68"/>
      <c r="AU1002" s="68"/>
      <c r="AV1002" s="68"/>
      <c r="AW1002" s="68"/>
      <c r="AX1002" s="68"/>
      <c r="AY1002" s="68"/>
      <c r="AZ1002" s="34"/>
      <c r="BA1002" s="34"/>
      <c r="BB1002" s="34"/>
      <c r="BC1002" s="34"/>
    </row>
    <row r="1003" spans="1:55" ht="12.95" customHeight="1">
      <c r="A1003" s="14"/>
      <c r="B1003" s="73"/>
      <c r="C1003" s="923" t="s">
        <v>668</v>
      </c>
      <c r="D1003" s="1690" t="s">
        <v>1220</v>
      </c>
      <c r="E1003" s="1691"/>
      <c r="F1003" s="1691"/>
      <c r="G1003" s="1691"/>
      <c r="H1003" s="1691"/>
      <c r="I1003" s="1691"/>
      <c r="J1003" s="1691"/>
      <c r="K1003" s="1691"/>
      <c r="L1003" s="1691"/>
      <c r="M1003" s="1691"/>
      <c r="N1003" s="1691"/>
      <c r="O1003" s="1691"/>
      <c r="P1003" s="1691"/>
      <c r="Q1003" s="1691"/>
      <c r="R1003" s="1691"/>
      <c r="S1003" s="1691"/>
      <c r="T1003" s="1691"/>
      <c r="U1003" s="1691"/>
      <c r="V1003" s="1691"/>
      <c r="W1003" s="1691"/>
      <c r="X1003" s="1691"/>
      <c r="Y1003" s="1691"/>
      <c r="Z1003" s="1691"/>
      <c r="AA1003" s="1691"/>
      <c r="AB1003" s="1691"/>
      <c r="AC1003" s="1691"/>
      <c r="AD1003" s="1691"/>
      <c r="AE1003" s="1692"/>
      <c r="AF1003" s="79"/>
      <c r="AG1003" s="1714" t="s">
        <v>669</v>
      </c>
      <c r="AH1003" s="1715"/>
      <c r="AI1003" s="87"/>
      <c r="AJ1003" s="1669">
        <f>ROUND(IF(AND(AG1003="yes",D1009&gt;0),AJ1001*0.2,0),0)</f>
        <v>0</v>
      </c>
      <c r="AK1003" s="1670"/>
      <c r="AL1003" s="1670"/>
      <c r="AM1003" s="1670"/>
      <c r="AN1003" s="1670"/>
      <c r="AO1003" s="1670"/>
      <c r="AP1003" s="1670"/>
      <c r="AQ1003" s="1671"/>
      <c r="AR1003" s="68"/>
      <c r="AS1003" s="68"/>
      <c r="AT1003" s="68"/>
      <c r="AU1003" s="68"/>
      <c r="AV1003" s="68"/>
      <c r="AW1003" s="68"/>
      <c r="AX1003" s="68"/>
      <c r="AY1003" s="68"/>
      <c r="AZ1003" s="34"/>
      <c r="BA1003" s="34"/>
      <c r="BB1003" s="34"/>
      <c r="BC1003" s="34"/>
    </row>
    <row r="1004" spans="1:55" ht="12.95" customHeight="1">
      <c r="A1004" s="14"/>
      <c r="B1004" s="257"/>
      <c r="C1004" s="256"/>
      <c r="D1004" s="1725" t="s">
        <v>2188</v>
      </c>
      <c r="E1004" s="1726"/>
      <c r="F1004" s="1726"/>
      <c r="G1004" s="1726"/>
      <c r="H1004" s="1726"/>
      <c r="I1004" s="1726"/>
      <c r="J1004" s="1726"/>
      <c r="K1004" s="1726"/>
      <c r="L1004" s="1726"/>
      <c r="M1004" s="1726"/>
      <c r="N1004" s="1726"/>
      <c r="O1004" s="1726"/>
      <c r="P1004" s="1726"/>
      <c r="Q1004" s="1726"/>
      <c r="R1004" s="1726"/>
      <c r="S1004" s="1726"/>
      <c r="T1004" s="1726"/>
      <c r="U1004" s="1726"/>
      <c r="V1004" s="1726"/>
      <c r="W1004" s="1726"/>
      <c r="X1004" s="1726"/>
      <c r="Y1004" s="1726"/>
      <c r="Z1004" s="1726"/>
      <c r="AA1004" s="1726"/>
      <c r="AB1004" s="1726"/>
      <c r="AC1004" s="1726"/>
      <c r="AD1004" s="1726"/>
      <c r="AE1004" s="1727"/>
      <c r="AF1004" s="73"/>
      <c r="AG1004" s="14"/>
      <c r="AH1004" s="14"/>
      <c r="AI1004" s="83"/>
      <c r="AJ1004" s="1672"/>
      <c r="AK1004" s="1673"/>
      <c r="AL1004" s="1673"/>
      <c r="AM1004" s="1673"/>
      <c r="AN1004" s="1673"/>
      <c r="AO1004" s="1673"/>
      <c r="AP1004" s="1673"/>
      <c r="AQ1004" s="1674"/>
      <c r="AR1004" s="68"/>
      <c r="AS1004" s="68"/>
      <c r="AT1004" s="68"/>
      <c r="AU1004" s="68"/>
      <c r="AV1004" s="68"/>
      <c r="AW1004" s="68"/>
      <c r="AX1004" s="68"/>
      <c r="AY1004" s="68"/>
      <c r="AZ1004" s="34"/>
      <c r="BA1004" s="34"/>
      <c r="BB1004" s="34"/>
      <c r="BC1004" s="34"/>
    </row>
    <row r="1005" spans="1:55" ht="12.95" customHeight="1">
      <c r="A1005" s="14"/>
      <c r="B1005" s="257"/>
      <c r="C1005" s="256"/>
      <c r="D1005" s="1725"/>
      <c r="E1005" s="1726"/>
      <c r="F1005" s="1726"/>
      <c r="G1005" s="1726"/>
      <c r="H1005" s="1726"/>
      <c r="I1005" s="1726"/>
      <c r="J1005" s="1726"/>
      <c r="K1005" s="1726"/>
      <c r="L1005" s="1726"/>
      <c r="M1005" s="1726"/>
      <c r="N1005" s="1726"/>
      <c r="O1005" s="1726"/>
      <c r="P1005" s="1726"/>
      <c r="Q1005" s="1726"/>
      <c r="R1005" s="1726"/>
      <c r="S1005" s="1726"/>
      <c r="T1005" s="1726"/>
      <c r="U1005" s="1726"/>
      <c r="V1005" s="1726"/>
      <c r="W1005" s="1726"/>
      <c r="X1005" s="1726"/>
      <c r="Y1005" s="1726"/>
      <c r="Z1005" s="1726"/>
      <c r="AA1005" s="1726"/>
      <c r="AB1005" s="1726"/>
      <c r="AC1005" s="1726"/>
      <c r="AD1005" s="1726"/>
      <c r="AE1005" s="1727"/>
      <c r="AF1005" s="73"/>
      <c r="AG1005" s="14"/>
      <c r="AH1005" s="14"/>
      <c r="AI1005" s="83"/>
      <c r="AJ1005" s="1672"/>
      <c r="AK1005" s="1673"/>
      <c r="AL1005" s="1673"/>
      <c r="AM1005" s="1673"/>
      <c r="AN1005" s="1673"/>
      <c r="AO1005" s="1673"/>
      <c r="AP1005" s="1673"/>
      <c r="AQ1005" s="1674"/>
      <c r="AR1005" s="68"/>
      <c r="AS1005" s="68"/>
      <c r="AT1005" s="68"/>
      <c r="AU1005" s="68"/>
      <c r="AV1005" s="68"/>
      <c r="AW1005" s="68"/>
      <c r="AX1005" s="68"/>
      <c r="AY1005" s="68"/>
      <c r="AZ1005" s="34"/>
      <c r="BA1005" s="34"/>
      <c r="BB1005" s="34"/>
      <c r="BC1005" s="34"/>
    </row>
    <row r="1006" spans="1:55" ht="12.95" customHeight="1">
      <c r="A1006" s="14"/>
      <c r="B1006" s="257"/>
      <c r="C1006" s="256"/>
      <c r="D1006" s="1725"/>
      <c r="E1006" s="1726"/>
      <c r="F1006" s="1726"/>
      <c r="G1006" s="1726"/>
      <c r="H1006" s="1726"/>
      <c r="I1006" s="1726"/>
      <c r="J1006" s="1726"/>
      <c r="K1006" s="1726"/>
      <c r="L1006" s="1726"/>
      <c r="M1006" s="1726"/>
      <c r="N1006" s="1726"/>
      <c r="O1006" s="1726"/>
      <c r="P1006" s="1726"/>
      <c r="Q1006" s="1726"/>
      <c r="R1006" s="1726"/>
      <c r="S1006" s="1726"/>
      <c r="T1006" s="1726"/>
      <c r="U1006" s="1726"/>
      <c r="V1006" s="1726"/>
      <c r="W1006" s="1726"/>
      <c r="X1006" s="1726"/>
      <c r="Y1006" s="1726"/>
      <c r="Z1006" s="1726"/>
      <c r="AA1006" s="1726"/>
      <c r="AB1006" s="1726"/>
      <c r="AC1006" s="1726"/>
      <c r="AD1006" s="1726"/>
      <c r="AE1006" s="1727"/>
      <c r="AF1006" s="73"/>
      <c r="AG1006" s="14"/>
      <c r="AH1006" s="14"/>
      <c r="AI1006" s="83"/>
      <c r="AJ1006" s="1672"/>
      <c r="AK1006" s="1673"/>
      <c r="AL1006" s="1673"/>
      <c r="AM1006" s="1673"/>
      <c r="AN1006" s="1673"/>
      <c r="AO1006" s="1673"/>
      <c r="AP1006" s="1673"/>
      <c r="AQ1006" s="1674"/>
      <c r="AR1006" s="68"/>
      <c r="AS1006" s="68"/>
      <c r="AT1006" s="68"/>
      <c r="AU1006" s="68"/>
      <c r="AV1006" s="68"/>
      <c r="AW1006" s="68"/>
      <c r="AX1006" s="68"/>
      <c r="AY1006" s="68"/>
      <c r="AZ1006" s="34"/>
      <c r="BA1006" s="34"/>
      <c r="BB1006" s="34"/>
      <c r="BC1006" s="34"/>
    </row>
    <row r="1007" spans="1:55" ht="12.95" customHeight="1">
      <c r="A1007" s="14"/>
      <c r="B1007" s="257"/>
      <c r="C1007" s="256"/>
      <c r="D1007" s="1725"/>
      <c r="E1007" s="1726"/>
      <c r="F1007" s="1726"/>
      <c r="G1007" s="1726"/>
      <c r="H1007" s="1726"/>
      <c r="I1007" s="1726"/>
      <c r="J1007" s="1726"/>
      <c r="K1007" s="1726"/>
      <c r="L1007" s="1726"/>
      <c r="M1007" s="1726"/>
      <c r="N1007" s="1726"/>
      <c r="O1007" s="1726"/>
      <c r="P1007" s="1726"/>
      <c r="Q1007" s="1726"/>
      <c r="R1007" s="1726"/>
      <c r="S1007" s="1726"/>
      <c r="T1007" s="1726"/>
      <c r="U1007" s="1726"/>
      <c r="V1007" s="1726"/>
      <c r="W1007" s="1726"/>
      <c r="X1007" s="1726"/>
      <c r="Y1007" s="1726"/>
      <c r="Z1007" s="1726"/>
      <c r="AA1007" s="1726"/>
      <c r="AB1007" s="1726"/>
      <c r="AC1007" s="1726"/>
      <c r="AD1007" s="1726"/>
      <c r="AE1007" s="1727"/>
      <c r="AF1007" s="73"/>
      <c r="AG1007" s="14"/>
      <c r="AH1007" s="14"/>
      <c r="AI1007" s="83"/>
      <c r="AJ1007" s="1672"/>
      <c r="AK1007" s="1673"/>
      <c r="AL1007" s="1673"/>
      <c r="AM1007" s="1673"/>
      <c r="AN1007" s="1673"/>
      <c r="AO1007" s="1673"/>
      <c r="AP1007" s="1673"/>
      <c r="AQ1007" s="1674"/>
      <c r="AR1007" s="68"/>
      <c r="AS1007" s="68"/>
      <c r="AT1007" s="68"/>
      <c r="AU1007" s="68"/>
      <c r="AV1007" s="68"/>
      <c r="AW1007" s="68"/>
      <c r="AX1007" s="68"/>
      <c r="AY1007" s="68"/>
      <c r="AZ1007" s="34"/>
      <c r="BA1007" s="34"/>
      <c r="BB1007" s="34"/>
      <c r="BC1007" s="34"/>
    </row>
    <row r="1008" spans="1:55" ht="12.95" customHeight="1">
      <c r="A1008" s="14"/>
      <c r="B1008" s="257"/>
      <c r="C1008" s="256"/>
      <c r="D1008" s="1750" t="s">
        <v>2159</v>
      </c>
      <c r="E1008" s="1751"/>
      <c r="F1008" s="1751"/>
      <c r="G1008" s="1751"/>
      <c r="H1008" s="1751"/>
      <c r="I1008" s="1751"/>
      <c r="J1008" s="1751"/>
      <c r="K1008" s="1751"/>
      <c r="L1008" s="1751"/>
      <c r="M1008" s="1751"/>
      <c r="N1008" s="1751"/>
      <c r="O1008" s="1751"/>
      <c r="P1008" s="1751"/>
      <c r="Q1008" s="1751"/>
      <c r="R1008" s="1751"/>
      <c r="S1008" s="1751"/>
      <c r="T1008" s="1751"/>
      <c r="U1008" s="1751"/>
      <c r="V1008" s="1751"/>
      <c r="W1008" s="1751"/>
      <c r="X1008" s="1751"/>
      <c r="Y1008" s="1751"/>
      <c r="Z1008" s="1751"/>
      <c r="AA1008" s="1751"/>
      <c r="AB1008" s="1751"/>
      <c r="AC1008" s="1751"/>
      <c r="AD1008" s="1751"/>
      <c r="AE1008" s="1752"/>
      <c r="AF1008" s="73"/>
      <c r="AG1008" s="14"/>
      <c r="AH1008" s="14"/>
      <c r="AI1008" s="83"/>
      <c r="AJ1008" s="1672"/>
      <c r="AK1008" s="1673"/>
      <c r="AL1008" s="1673"/>
      <c r="AM1008" s="1673"/>
      <c r="AN1008" s="1673"/>
      <c r="AO1008" s="1673"/>
      <c r="AP1008" s="1673"/>
      <c r="AQ1008" s="1674"/>
      <c r="AR1008" s="68"/>
      <c r="AS1008" s="68"/>
      <c r="AT1008" s="68"/>
      <c r="AU1008" s="68"/>
      <c r="AV1008" s="68"/>
      <c r="AW1008" s="68"/>
      <c r="AX1008" s="68"/>
      <c r="AY1008" s="68"/>
      <c r="AZ1008" s="34"/>
      <c r="BA1008" s="34"/>
      <c r="BB1008" s="34"/>
      <c r="BC1008" s="34"/>
    </row>
    <row r="1009" spans="1:55" ht="12.95" customHeight="1">
      <c r="A1009" s="14"/>
      <c r="B1009" s="257"/>
      <c r="C1009" s="256"/>
      <c r="D1009" s="1747"/>
      <c r="E1009" s="1748"/>
      <c r="F1009" s="1748"/>
      <c r="G1009" s="1748"/>
      <c r="H1009" s="1748"/>
      <c r="I1009" s="1748"/>
      <c r="J1009" s="1748"/>
      <c r="K1009" s="1748"/>
      <c r="L1009" s="1748"/>
      <c r="M1009" s="1748"/>
      <c r="N1009" s="1748"/>
      <c r="O1009" s="1748"/>
      <c r="P1009" s="1748"/>
      <c r="Q1009" s="1748"/>
      <c r="R1009" s="1748"/>
      <c r="S1009" s="1748"/>
      <c r="T1009" s="1748"/>
      <c r="U1009" s="1748"/>
      <c r="V1009" s="1748"/>
      <c r="W1009" s="1748"/>
      <c r="X1009" s="1748"/>
      <c r="Y1009" s="1748"/>
      <c r="Z1009" s="1748"/>
      <c r="AA1009" s="1748"/>
      <c r="AB1009" s="1748"/>
      <c r="AC1009" s="1748"/>
      <c r="AD1009" s="1748"/>
      <c r="AE1009" s="1749"/>
      <c r="AF1009" s="77"/>
      <c r="AG1009" s="7"/>
      <c r="AH1009" s="7"/>
      <c r="AI1009" s="78"/>
      <c r="AJ1009" s="1681"/>
      <c r="AK1009" s="1682"/>
      <c r="AL1009" s="1682"/>
      <c r="AM1009" s="1682"/>
      <c r="AN1009" s="1682"/>
      <c r="AO1009" s="1682"/>
      <c r="AP1009" s="1682"/>
      <c r="AQ1009" s="1683"/>
      <c r="AR1009" s="68"/>
      <c r="AS1009" s="68"/>
      <c r="AT1009" s="68"/>
      <c r="AU1009" s="68"/>
      <c r="AV1009" s="68"/>
      <c r="AW1009" s="68"/>
      <c r="AX1009" s="68"/>
      <c r="AY1009" s="68"/>
      <c r="AZ1009" s="34"/>
      <c r="BA1009" s="34"/>
      <c r="BB1009" s="34"/>
      <c r="BC1009" s="34"/>
    </row>
    <row r="1010" spans="1:55" ht="12.95" customHeight="1">
      <c r="A1010" s="14"/>
      <c r="B1010" s="255"/>
      <c r="C1010" s="318"/>
      <c r="D1010" s="1651" t="s">
        <v>1286</v>
      </c>
      <c r="E1010" s="1652"/>
      <c r="F1010" s="1652"/>
      <c r="G1010" s="1652"/>
      <c r="H1010" s="1652"/>
      <c r="I1010" s="1652"/>
      <c r="J1010" s="1652"/>
      <c r="K1010" s="1652"/>
      <c r="L1010" s="1652"/>
      <c r="M1010" s="1652"/>
      <c r="N1010" s="1652"/>
      <c r="O1010" s="1652"/>
      <c r="P1010" s="1652"/>
      <c r="Q1010" s="1652"/>
      <c r="R1010" s="1652"/>
      <c r="S1010" s="1652"/>
      <c r="T1010" s="1652"/>
      <c r="U1010" s="1652"/>
      <c r="V1010" s="1652"/>
      <c r="W1010" s="1652"/>
      <c r="X1010" s="1652"/>
      <c r="Y1010" s="1652"/>
      <c r="Z1010" s="1652"/>
      <c r="AA1010" s="1652"/>
      <c r="AB1010" s="1652"/>
      <c r="AC1010" s="1652"/>
      <c r="AD1010" s="1652"/>
      <c r="AE1010" s="1653"/>
      <c r="AF1010" s="79"/>
      <c r="AG1010" s="1696" t="s">
        <v>669</v>
      </c>
      <c r="AH1010" s="1697"/>
      <c r="AI1010" s="87"/>
      <c r="AJ1010" s="1669">
        <f>ROUND(IF(AG1010="yes",AJ1001*0.05,0),0)</f>
        <v>0</v>
      </c>
      <c r="AK1010" s="1670"/>
      <c r="AL1010" s="1670"/>
      <c r="AM1010" s="1670"/>
      <c r="AN1010" s="1670"/>
      <c r="AO1010" s="1670"/>
      <c r="AP1010" s="1670"/>
      <c r="AQ1010" s="1671"/>
      <c r="AR1010" s="68"/>
      <c r="AS1010" s="68"/>
      <c r="AT1010" s="68"/>
      <c r="AU1010" s="68"/>
      <c r="AV1010" s="68"/>
      <c r="AW1010" s="68"/>
      <c r="AX1010" s="68"/>
      <c r="AY1010" s="68"/>
      <c r="AZ1010" s="34"/>
      <c r="BA1010" s="34"/>
      <c r="BB1010" s="34"/>
      <c r="BC1010" s="34"/>
    </row>
    <row r="1011" spans="1:55" ht="12.95" customHeight="1">
      <c r="A1011" s="14"/>
      <c r="B1011" s="257"/>
      <c r="C1011" s="82"/>
      <c r="D1011" s="1725" t="s">
        <v>1284</v>
      </c>
      <c r="E1011" s="1726"/>
      <c r="F1011" s="1726"/>
      <c r="G1011" s="1726"/>
      <c r="H1011" s="1726"/>
      <c r="I1011" s="1726"/>
      <c r="J1011" s="1726"/>
      <c r="K1011" s="1726"/>
      <c r="L1011" s="1726"/>
      <c r="M1011" s="1726"/>
      <c r="N1011" s="1726"/>
      <c r="O1011" s="1726"/>
      <c r="P1011" s="1726"/>
      <c r="Q1011" s="1726"/>
      <c r="R1011" s="1726"/>
      <c r="S1011" s="1726"/>
      <c r="T1011" s="1726"/>
      <c r="U1011" s="1726"/>
      <c r="V1011" s="1726"/>
      <c r="W1011" s="1726"/>
      <c r="X1011" s="1726"/>
      <c r="Y1011" s="1726"/>
      <c r="Z1011" s="1726"/>
      <c r="AA1011" s="1726"/>
      <c r="AB1011" s="1726"/>
      <c r="AC1011" s="1726"/>
      <c r="AD1011" s="1726"/>
      <c r="AE1011" s="1727"/>
      <c r="AF1011" s="73"/>
      <c r="AG1011" s="14"/>
      <c r="AH1011" s="14"/>
      <c r="AI1011" s="83"/>
      <c r="AJ1011" s="1672"/>
      <c r="AK1011" s="1673"/>
      <c r="AL1011" s="1673"/>
      <c r="AM1011" s="1673"/>
      <c r="AN1011" s="1673"/>
      <c r="AO1011" s="1673"/>
      <c r="AP1011" s="1673"/>
      <c r="AQ1011" s="1674"/>
      <c r="AR1011" s="68"/>
      <c r="AS1011" s="68"/>
      <c r="AT1011" s="68"/>
      <c r="AU1011" s="68"/>
      <c r="AV1011" s="68"/>
      <c r="AW1011" s="68"/>
      <c r="AX1011" s="68"/>
      <c r="AY1011" s="34"/>
      <c r="AZ1011" s="34"/>
      <c r="BB1011" s="34"/>
    </row>
    <row r="1012" spans="1:55" ht="12.95" customHeight="1">
      <c r="A1012" s="14"/>
      <c r="B1012" s="257"/>
      <c r="C1012" s="82"/>
      <c r="D1012" s="1725"/>
      <c r="E1012" s="1726"/>
      <c r="F1012" s="1726"/>
      <c r="G1012" s="1726"/>
      <c r="H1012" s="1726"/>
      <c r="I1012" s="1726"/>
      <c r="J1012" s="1726"/>
      <c r="K1012" s="1726"/>
      <c r="L1012" s="1726"/>
      <c r="M1012" s="1726"/>
      <c r="N1012" s="1726"/>
      <c r="O1012" s="1726"/>
      <c r="P1012" s="1726"/>
      <c r="Q1012" s="1726"/>
      <c r="R1012" s="1726"/>
      <c r="S1012" s="1726"/>
      <c r="T1012" s="1726"/>
      <c r="U1012" s="1726"/>
      <c r="V1012" s="1726"/>
      <c r="W1012" s="1726"/>
      <c r="X1012" s="1726"/>
      <c r="Y1012" s="1726"/>
      <c r="Z1012" s="1726"/>
      <c r="AA1012" s="1726"/>
      <c r="AB1012" s="1726"/>
      <c r="AC1012" s="1726"/>
      <c r="AD1012" s="1726"/>
      <c r="AE1012" s="1727"/>
      <c r="AF1012" s="73"/>
      <c r="AG1012" s="14"/>
      <c r="AH1012" s="14"/>
      <c r="AI1012" s="83"/>
      <c r="AJ1012" s="1672"/>
      <c r="AK1012" s="1673"/>
      <c r="AL1012" s="1673"/>
      <c r="AM1012" s="1673"/>
      <c r="AN1012" s="1673"/>
      <c r="AO1012" s="1673"/>
      <c r="AP1012" s="1673"/>
      <c r="AQ1012" s="1674"/>
      <c r="AR1012" s="68"/>
      <c r="AS1012" s="68"/>
      <c r="AT1012" s="68"/>
      <c r="AU1012" s="68"/>
      <c r="AV1012" s="68"/>
      <c r="AW1012" s="68"/>
      <c r="AX1012" s="68"/>
      <c r="AY1012" s="910">
        <f>G761+O805</f>
        <v>48</v>
      </c>
      <c r="AZ1012" s="34"/>
      <c r="BB1012" s="34"/>
    </row>
    <row r="1013" spans="1:55" ht="12.95" customHeight="1">
      <c r="A1013" s="14"/>
      <c r="B1013" s="257"/>
      <c r="C1013" s="82"/>
      <c r="D1013" s="1725"/>
      <c r="E1013" s="1726"/>
      <c r="F1013" s="1726"/>
      <c r="G1013" s="1726"/>
      <c r="H1013" s="1726"/>
      <c r="I1013" s="1726"/>
      <c r="J1013" s="1726"/>
      <c r="K1013" s="1726"/>
      <c r="L1013" s="1726"/>
      <c r="M1013" s="1726"/>
      <c r="N1013" s="1726"/>
      <c r="O1013" s="1726"/>
      <c r="P1013" s="1726"/>
      <c r="Q1013" s="1726"/>
      <c r="R1013" s="1726"/>
      <c r="S1013" s="1726"/>
      <c r="T1013" s="1726"/>
      <c r="U1013" s="1726"/>
      <c r="V1013" s="1726"/>
      <c r="W1013" s="1726"/>
      <c r="X1013" s="1726"/>
      <c r="Y1013" s="1726"/>
      <c r="Z1013" s="1726"/>
      <c r="AA1013" s="1726"/>
      <c r="AB1013" s="1726"/>
      <c r="AC1013" s="1726"/>
      <c r="AD1013" s="1726"/>
      <c r="AE1013" s="1727"/>
      <c r="AF1013" s="73"/>
      <c r="AG1013" s="14"/>
      <c r="AH1013" s="14"/>
      <c r="AI1013" s="83"/>
      <c r="AJ1013" s="1672"/>
      <c r="AK1013" s="1673"/>
      <c r="AL1013" s="1673"/>
      <c r="AM1013" s="1673"/>
      <c r="AN1013" s="1673"/>
      <c r="AO1013" s="1673"/>
      <c r="AP1013" s="1673"/>
      <c r="AQ1013" s="1674"/>
      <c r="AR1013" s="68"/>
      <c r="AS1013" s="68"/>
      <c r="AT1013" s="68"/>
      <c r="AU1013" s="68"/>
      <c r="AV1013" s="68"/>
      <c r="AW1013" s="68"/>
      <c r="AX1013" s="68"/>
      <c r="AY1013" s="14"/>
      <c r="AZ1013" s="34"/>
      <c r="BB1013" s="34"/>
    </row>
    <row r="1014" spans="1:55" ht="12.95" customHeight="1">
      <c r="A1014" s="14"/>
      <c r="B1014" s="257"/>
      <c r="C1014" s="82"/>
      <c r="D1014" s="1725"/>
      <c r="E1014" s="1726"/>
      <c r="F1014" s="1726"/>
      <c r="G1014" s="1726"/>
      <c r="H1014" s="1726"/>
      <c r="I1014" s="1726"/>
      <c r="J1014" s="1726"/>
      <c r="K1014" s="1726"/>
      <c r="L1014" s="1726"/>
      <c r="M1014" s="1726"/>
      <c r="N1014" s="1726"/>
      <c r="O1014" s="1726"/>
      <c r="P1014" s="1726"/>
      <c r="Q1014" s="1726"/>
      <c r="R1014" s="1726"/>
      <c r="S1014" s="1726"/>
      <c r="T1014" s="1726"/>
      <c r="U1014" s="1726"/>
      <c r="V1014" s="1726"/>
      <c r="W1014" s="1726"/>
      <c r="X1014" s="1726"/>
      <c r="Y1014" s="1726"/>
      <c r="Z1014" s="1726"/>
      <c r="AA1014" s="1726"/>
      <c r="AB1014" s="1726"/>
      <c r="AC1014" s="1726"/>
      <c r="AD1014" s="1726"/>
      <c r="AE1014" s="1727"/>
      <c r="AF1014" s="73"/>
      <c r="AG1014" s="14"/>
      <c r="AH1014" s="14"/>
      <c r="AI1014" s="83"/>
      <c r="AJ1014" s="1672"/>
      <c r="AK1014" s="1673"/>
      <c r="AL1014" s="1673"/>
      <c r="AM1014" s="1673"/>
      <c r="AN1014" s="1673"/>
      <c r="AO1014" s="1673"/>
      <c r="AP1014" s="1673"/>
      <c r="AQ1014" s="1674"/>
      <c r="AR1014" s="68"/>
      <c r="AS1014" s="68"/>
      <c r="AT1014" s="68"/>
      <c r="AU1014" s="68"/>
      <c r="AV1014" s="68"/>
      <c r="AW1014" s="68"/>
      <c r="AX1014" s="68"/>
      <c r="AY1014" s="909">
        <f>ROUNDDOWN(X1057/I1057,2)</f>
        <v>0.2</v>
      </c>
      <c r="AZ1014" s="34"/>
      <c r="BB1014" s="34"/>
    </row>
    <row r="1015" spans="1:55" ht="12.95" customHeight="1">
      <c r="A1015" s="14"/>
      <c r="B1015" s="75"/>
      <c r="C1015" s="76"/>
      <c r="D1015" s="1750"/>
      <c r="E1015" s="1751"/>
      <c r="F1015" s="1751"/>
      <c r="G1015" s="1751"/>
      <c r="H1015" s="1751"/>
      <c r="I1015" s="1751"/>
      <c r="J1015" s="1751"/>
      <c r="K1015" s="1751"/>
      <c r="L1015" s="1751"/>
      <c r="M1015" s="1751"/>
      <c r="N1015" s="1751"/>
      <c r="O1015" s="1751"/>
      <c r="P1015" s="1751"/>
      <c r="Q1015" s="1751"/>
      <c r="R1015" s="1751"/>
      <c r="S1015" s="1751"/>
      <c r="T1015" s="1751"/>
      <c r="U1015" s="1751"/>
      <c r="V1015" s="1751"/>
      <c r="W1015" s="1751"/>
      <c r="X1015" s="1751"/>
      <c r="Y1015" s="1751"/>
      <c r="Z1015" s="1751"/>
      <c r="AA1015" s="1751"/>
      <c r="AB1015" s="1751"/>
      <c r="AC1015" s="1751"/>
      <c r="AD1015" s="1751"/>
      <c r="AE1015" s="1752"/>
      <c r="AF1015" s="77"/>
      <c r="AG1015" s="7"/>
      <c r="AH1015" s="7"/>
      <c r="AI1015" s="78"/>
      <c r="AJ1015" s="1681"/>
      <c r="AK1015" s="1682"/>
      <c r="AL1015" s="1682"/>
      <c r="AM1015" s="1682"/>
      <c r="AN1015" s="1682"/>
      <c r="AO1015" s="1682"/>
      <c r="AP1015" s="1682"/>
      <c r="AQ1015" s="1683"/>
      <c r="AR1015" s="68"/>
      <c r="AS1015" s="68"/>
      <c r="AT1015" s="68"/>
      <c r="AU1015" s="68"/>
      <c r="AV1015" s="68"/>
      <c r="AW1015" s="68"/>
      <c r="AX1015" s="68"/>
      <c r="AY1015" s="909">
        <f>ROUNDDOWN(X1061/I1061,2)</f>
        <v>0.14000000000000001</v>
      </c>
      <c r="AZ1015" s="34"/>
      <c r="BB1015" s="34"/>
    </row>
    <row r="1016" spans="1:55" ht="12.95" customHeight="1">
      <c r="A1016" s="14"/>
      <c r="B1016" s="255"/>
      <c r="C1016" s="80" t="s">
        <v>672</v>
      </c>
      <c r="D1016" s="1651" t="s">
        <v>1672</v>
      </c>
      <c r="E1016" s="1652"/>
      <c r="F1016" s="1652"/>
      <c r="G1016" s="1652"/>
      <c r="H1016" s="1652"/>
      <c r="I1016" s="1652"/>
      <c r="J1016" s="1652"/>
      <c r="K1016" s="1652"/>
      <c r="L1016" s="1652"/>
      <c r="M1016" s="1652"/>
      <c r="N1016" s="1652"/>
      <c r="O1016" s="1652"/>
      <c r="P1016" s="1652"/>
      <c r="Q1016" s="1652"/>
      <c r="R1016" s="1652"/>
      <c r="S1016" s="1652"/>
      <c r="T1016" s="1652"/>
      <c r="U1016" s="1652"/>
      <c r="V1016" s="1652"/>
      <c r="W1016" s="1652"/>
      <c r="X1016" s="1652"/>
      <c r="Y1016" s="1652"/>
      <c r="Z1016" s="1652"/>
      <c r="AA1016" s="1652"/>
      <c r="AB1016" s="1652"/>
      <c r="AC1016" s="1652"/>
      <c r="AD1016" s="1652"/>
      <c r="AE1016" s="1653"/>
      <c r="AF1016" s="86"/>
      <c r="AG1016" s="1696" t="s">
        <v>669</v>
      </c>
      <c r="AH1016" s="1697"/>
      <c r="AI1016" s="87"/>
      <c r="AJ1016" s="1669">
        <f>ROUND(IF(AG1016="yes",AJ1001*0.1,0),0)</f>
        <v>0</v>
      </c>
      <c r="AK1016" s="1670"/>
      <c r="AL1016" s="1670"/>
      <c r="AM1016" s="1670"/>
      <c r="AN1016" s="1670"/>
      <c r="AO1016" s="1670"/>
      <c r="AP1016" s="1670"/>
      <c r="AQ1016" s="1671"/>
      <c r="AR1016" s="68"/>
      <c r="AS1016" s="68"/>
      <c r="AT1016" s="68"/>
      <c r="AU1016" s="68"/>
      <c r="AV1016" s="68"/>
      <c r="AW1016" s="68"/>
      <c r="AX1016" s="68"/>
      <c r="BB1016" s="34"/>
    </row>
    <row r="1017" spans="1:55" ht="12.95" customHeight="1">
      <c r="A1017" s="14"/>
      <c r="B1017" s="73"/>
      <c r="C1017" s="74"/>
      <c r="D1017" s="1675" t="s">
        <v>1285</v>
      </c>
      <c r="E1017" s="1676"/>
      <c r="F1017" s="1676"/>
      <c r="G1017" s="1676"/>
      <c r="H1017" s="1676"/>
      <c r="I1017" s="1676"/>
      <c r="J1017" s="1676"/>
      <c r="K1017" s="1676"/>
      <c r="L1017" s="1676"/>
      <c r="M1017" s="1676"/>
      <c r="N1017" s="1676"/>
      <c r="O1017" s="1676"/>
      <c r="P1017" s="1676"/>
      <c r="Q1017" s="1676"/>
      <c r="R1017" s="1676"/>
      <c r="S1017" s="1676"/>
      <c r="T1017" s="1676"/>
      <c r="U1017" s="1676"/>
      <c r="V1017" s="1676"/>
      <c r="W1017" s="1676"/>
      <c r="X1017" s="1676"/>
      <c r="Y1017" s="1676"/>
      <c r="Z1017" s="1676"/>
      <c r="AA1017" s="1676"/>
      <c r="AB1017" s="1676"/>
      <c r="AC1017" s="1676"/>
      <c r="AD1017" s="1676"/>
      <c r="AE1017" s="1677"/>
      <c r="AF1017" s="73"/>
      <c r="AI1017" s="83"/>
      <c r="AJ1017" s="1672"/>
      <c r="AK1017" s="1673"/>
      <c r="AL1017" s="1673"/>
      <c r="AM1017" s="1673"/>
      <c r="AN1017" s="1673"/>
      <c r="AO1017" s="1673"/>
      <c r="AP1017" s="1673"/>
      <c r="AQ1017" s="1674"/>
      <c r="AR1017" s="68"/>
      <c r="AS1017" s="68"/>
      <c r="AT1017" s="68"/>
      <c r="AU1017" s="68"/>
      <c r="AV1017" s="68"/>
      <c r="AW1017" s="68"/>
      <c r="AX1017" s="68"/>
    </row>
    <row r="1018" spans="1:55" ht="12.95" customHeight="1">
      <c r="A1018" s="14"/>
      <c r="B1018" s="73"/>
      <c r="C1018" s="74"/>
      <c r="D1018" s="1675"/>
      <c r="E1018" s="1676"/>
      <c r="F1018" s="1676"/>
      <c r="G1018" s="1676"/>
      <c r="H1018" s="1676"/>
      <c r="I1018" s="1676"/>
      <c r="J1018" s="1676"/>
      <c r="K1018" s="1676"/>
      <c r="L1018" s="1676"/>
      <c r="M1018" s="1676"/>
      <c r="N1018" s="1676"/>
      <c r="O1018" s="1676"/>
      <c r="P1018" s="1676"/>
      <c r="Q1018" s="1676"/>
      <c r="R1018" s="1676"/>
      <c r="S1018" s="1676"/>
      <c r="T1018" s="1676"/>
      <c r="U1018" s="1676"/>
      <c r="V1018" s="1676"/>
      <c r="W1018" s="1676"/>
      <c r="X1018" s="1676"/>
      <c r="Y1018" s="1676"/>
      <c r="Z1018" s="1676"/>
      <c r="AA1018" s="1676"/>
      <c r="AB1018" s="1676"/>
      <c r="AC1018" s="1676"/>
      <c r="AD1018" s="1676"/>
      <c r="AE1018" s="1677"/>
      <c r="AF1018" s="73"/>
      <c r="AG1018" s="14"/>
      <c r="AH1018" s="14"/>
      <c r="AI1018" s="83"/>
      <c r="AJ1018" s="1672"/>
      <c r="AK1018" s="1673"/>
      <c r="AL1018" s="1673"/>
      <c r="AM1018" s="1673"/>
      <c r="AN1018" s="1673"/>
      <c r="AO1018" s="1673"/>
      <c r="AP1018" s="1673"/>
      <c r="AQ1018" s="1674"/>
      <c r="AR1018" s="68"/>
      <c r="AS1018" s="68"/>
      <c r="AT1018" s="68"/>
      <c r="AU1018" s="68"/>
      <c r="AV1018" s="68"/>
      <c r="AW1018" s="68"/>
      <c r="AX1018" s="68"/>
    </row>
    <row r="1019" spans="1:55" ht="12.95" customHeight="1">
      <c r="A1019" s="14"/>
      <c r="B1019" s="85"/>
      <c r="C1019" s="76"/>
      <c r="D1019" s="1678"/>
      <c r="E1019" s="1679"/>
      <c r="F1019" s="1679"/>
      <c r="G1019" s="1679"/>
      <c r="H1019" s="1679"/>
      <c r="I1019" s="1679"/>
      <c r="J1019" s="1679"/>
      <c r="K1019" s="1679"/>
      <c r="L1019" s="1679"/>
      <c r="M1019" s="1679"/>
      <c r="N1019" s="1679"/>
      <c r="O1019" s="1679"/>
      <c r="P1019" s="1679"/>
      <c r="Q1019" s="1679"/>
      <c r="R1019" s="1679"/>
      <c r="S1019" s="1679"/>
      <c r="T1019" s="1679"/>
      <c r="U1019" s="1679"/>
      <c r="V1019" s="1679"/>
      <c r="W1019" s="1679"/>
      <c r="X1019" s="1679"/>
      <c r="Y1019" s="1679"/>
      <c r="Z1019" s="1679"/>
      <c r="AA1019" s="1679"/>
      <c r="AB1019" s="1679"/>
      <c r="AC1019" s="1679"/>
      <c r="AD1019" s="1679"/>
      <c r="AE1019" s="1680"/>
      <c r="AF1019" s="77"/>
      <c r="AG1019" s="7"/>
      <c r="AH1019" s="7"/>
      <c r="AI1019" s="78"/>
      <c r="AJ1019" s="1681"/>
      <c r="AK1019" s="1682"/>
      <c r="AL1019" s="1682"/>
      <c r="AM1019" s="1682"/>
      <c r="AN1019" s="1682"/>
      <c r="AO1019" s="1682"/>
      <c r="AP1019" s="1682"/>
      <c r="AQ1019" s="1683"/>
      <c r="AR1019" s="68"/>
      <c r="AS1019" s="68"/>
      <c r="AT1019" s="68"/>
      <c r="AU1019" s="68"/>
      <c r="AV1019" s="68"/>
      <c r="AW1019" s="68"/>
      <c r="AX1019" s="68"/>
    </row>
    <row r="1020" spans="1:55" ht="12.95" customHeight="1">
      <c r="A1020" s="14"/>
      <c r="B1020" s="79"/>
      <c r="C1020" s="80" t="s">
        <v>212</v>
      </c>
      <c r="D1020" s="1651" t="s">
        <v>1287</v>
      </c>
      <c r="E1020" s="1652"/>
      <c r="F1020" s="1652"/>
      <c r="G1020" s="1652"/>
      <c r="H1020" s="1652"/>
      <c r="I1020" s="1652"/>
      <c r="J1020" s="1652"/>
      <c r="K1020" s="1652"/>
      <c r="L1020" s="1652"/>
      <c r="M1020" s="1652"/>
      <c r="N1020" s="1652"/>
      <c r="O1020" s="1652"/>
      <c r="P1020" s="1652"/>
      <c r="Q1020" s="1652"/>
      <c r="R1020" s="1652"/>
      <c r="S1020" s="1652"/>
      <c r="T1020" s="1652"/>
      <c r="U1020" s="1652"/>
      <c r="V1020" s="1652"/>
      <c r="W1020" s="1652"/>
      <c r="X1020" s="1652"/>
      <c r="Y1020" s="1652"/>
      <c r="Z1020" s="1652"/>
      <c r="AA1020" s="1652"/>
      <c r="AB1020" s="1652"/>
      <c r="AC1020" s="1652"/>
      <c r="AD1020" s="1652"/>
      <c r="AE1020" s="1653"/>
      <c r="AF1020" s="79"/>
      <c r="AG1020" s="1696" t="s">
        <v>669</v>
      </c>
      <c r="AH1020" s="1697"/>
      <c r="AI1020" s="87"/>
      <c r="AJ1020" s="1669">
        <f>ROUND(IF(AG1020="yes",AJ1001*0.02,0),0)</f>
        <v>0</v>
      </c>
      <c r="AK1020" s="1670"/>
      <c r="AL1020" s="1670"/>
      <c r="AM1020" s="1670"/>
      <c r="AN1020" s="1670"/>
      <c r="AO1020" s="1670"/>
      <c r="AP1020" s="1670"/>
      <c r="AQ1020" s="1671"/>
      <c r="AR1020" s="68"/>
      <c r="AS1020" s="68"/>
      <c r="AT1020" s="68"/>
      <c r="AU1020" s="68"/>
      <c r="AV1020" s="68"/>
      <c r="AW1020" s="68"/>
      <c r="AX1020" s="68"/>
    </row>
    <row r="1021" spans="1:55" ht="14.25" customHeight="1">
      <c r="A1021" s="14"/>
      <c r="B1021" s="73"/>
      <c r="C1021" s="74"/>
      <c r="D1021" s="1678" t="s">
        <v>1288</v>
      </c>
      <c r="E1021" s="1679"/>
      <c r="F1021" s="1679"/>
      <c r="G1021" s="1679"/>
      <c r="H1021" s="1679"/>
      <c r="I1021" s="1679"/>
      <c r="J1021" s="1679"/>
      <c r="K1021" s="1679"/>
      <c r="L1021" s="1679"/>
      <c r="M1021" s="1679"/>
      <c r="N1021" s="1679"/>
      <c r="O1021" s="1679"/>
      <c r="P1021" s="1679"/>
      <c r="Q1021" s="1679"/>
      <c r="R1021" s="1679"/>
      <c r="S1021" s="1679"/>
      <c r="T1021" s="1679"/>
      <c r="U1021" s="1679"/>
      <c r="V1021" s="1679"/>
      <c r="W1021" s="1679"/>
      <c r="X1021" s="1679"/>
      <c r="Y1021" s="1679"/>
      <c r="Z1021" s="1679"/>
      <c r="AA1021" s="1679"/>
      <c r="AB1021" s="1679"/>
      <c r="AC1021" s="1679"/>
      <c r="AD1021" s="1679"/>
      <c r="AE1021" s="1680"/>
      <c r="AF1021" s="77"/>
      <c r="AG1021" s="7"/>
      <c r="AH1021" s="7"/>
      <c r="AI1021" s="78"/>
      <c r="AJ1021" s="1681"/>
      <c r="AK1021" s="1682"/>
      <c r="AL1021" s="1682"/>
      <c r="AM1021" s="1682"/>
      <c r="AN1021" s="1682"/>
      <c r="AO1021" s="1682"/>
      <c r="AP1021" s="1682"/>
      <c r="AQ1021" s="1683"/>
      <c r="AR1021" s="68"/>
      <c r="AS1021" s="68"/>
      <c r="AT1021" s="68"/>
      <c r="AU1021" s="68"/>
      <c r="AV1021" s="68"/>
      <c r="AW1021" s="68"/>
      <c r="AX1021" s="3" t="s">
        <v>1817</v>
      </c>
      <c r="AZ1021" s="3" t="s">
        <v>2531</v>
      </c>
    </row>
    <row r="1022" spans="1:55" ht="12.95" customHeight="1">
      <c r="A1022" s="14"/>
      <c r="B1022" s="79"/>
      <c r="C1022" s="80" t="s">
        <v>215</v>
      </c>
      <c r="D1022" s="1651" t="s">
        <v>1289</v>
      </c>
      <c r="E1022" s="1652"/>
      <c r="F1022" s="1652"/>
      <c r="G1022" s="1652"/>
      <c r="H1022" s="1652"/>
      <c r="I1022" s="1652"/>
      <c r="J1022" s="1652"/>
      <c r="K1022" s="1652"/>
      <c r="L1022" s="1652"/>
      <c r="M1022" s="1652"/>
      <c r="N1022" s="1652"/>
      <c r="O1022" s="1652"/>
      <c r="P1022" s="1652"/>
      <c r="Q1022" s="1652"/>
      <c r="R1022" s="1652"/>
      <c r="S1022" s="1652"/>
      <c r="T1022" s="1652"/>
      <c r="U1022" s="1652"/>
      <c r="V1022" s="1652"/>
      <c r="W1022" s="1652"/>
      <c r="X1022" s="1652"/>
      <c r="Y1022" s="1652"/>
      <c r="Z1022" s="1652"/>
      <c r="AA1022" s="1652"/>
      <c r="AB1022" s="1652"/>
      <c r="AC1022" s="1652"/>
      <c r="AD1022" s="1652"/>
      <c r="AE1022" s="1653"/>
      <c r="AF1022" s="79"/>
      <c r="AG1022" s="1696" t="s">
        <v>669</v>
      </c>
      <c r="AH1022" s="1697"/>
      <c r="AI1022" s="79"/>
      <c r="AJ1022" s="1669">
        <f>ROUND(IF(AG1022="yes",AJ1001*0.02,0),0)</f>
        <v>0</v>
      </c>
      <c r="AK1022" s="1670"/>
      <c r="AL1022" s="1670"/>
      <c r="AM1022" s="1670"/>
      <c r="AN1022" s="1670"/>
      <c r="AO1022" s="1670"/>
      <c r="AP1022" s="1670"/>
      <c r="AQ1022" s="1671"/>
      <c r="AR1022" s="68"/>
      <c r="AS1022" s="68"/>
      <c r="AT1022" s="68"/>
      <c r="AU1022" s="68"/>
      <c r="AV1022" s="68"/>
      <c r="AW1022" s="68"/>
      <c r="AX1022" s="3">
        <v>1</v>
      </c>
      <c r="AY1022" s="200">
        <f>IF((_xlfn.XLOOKUP(AX1022,$C$1074:$C$1112,$A$1074:$A$1112,"",0,1))="Yes",AZ1022,0)</f>
        <v>0.2</v>
      </c>
      <c r="AZ1022" s="1189">
        <v>0.2</v>
      </c>
    </row>
    <row r="1023" spans="1:55" ht="12.95" customHeight="1">
      <c r="A1023" s="14"/>
      <c r="B1023" s="73"/>
      <c r="C1023" s="74"/>
      <c r="D1023" s="1675" t="s">
        <v>1290</v>
      </c>
      <c r="E1023" s="1676"/>
      <c r="F1023" s="1676"/>
      <c r="G1023" s="1676"/>
      <c r="H1023" s="1676"/>
      <c r="I1023" s="1676"/>
      <c r="J1023" s="1676"/>
      <c r="K1023" s="1676"/>
      <c r="L1023" s="1676"/>
      <c r="M1023" s="1676"/>
      <c r="N1023" s="1676"/>
      <c r="O1023" s="1676"/>
      <c r="P1023" s="1676"/>
      <c r="Q1023" s="1676"/>
      <c r="R1023" s="1676"/>
      <c r="S1023" s="1676"/>
      <c r="T1023" s="1676"/>
      <c r="U1023" s="1676"/>
      <c r="V1023" s="1676"/>
      <c r="W1023" s="1676"/>
      <c r="X1023" s="1676"/>
      <c r="Y1023" s="1676"/>
      <c r="Z1023" s="1676"/>
      <c r="AA1023" s="1676"/>
      <c r="AB1023" s="1676"/>
      <c r="AC1023" s="1676"/>
      <c r="AD1023" s="1676"/>
      <c r="AE1023" s="1677"/>
      <c r="AF1023" s="1787" t="str">
        <f>IF(AND(AG1022="yes",T212&lt;&gt;1),"The project may not be eligible for this boost","")</f>
        <v/>
      </c>
      <c r="AG1023" s="1788"/>
      <c r="AH1023" s="1788"/>
      <c r="AI1023" s="1789"/>
      <c r="AJ1023" s="1672"/>
      <c r="AK1023" s="1673"/>
      <c r="AL1023" s="1673"/>
      <c r="AM1023" s="1673"/>
      <c r="AN1023" s="1673"/>
      <c r="AO1023" s="1673"/>
      <c r="AP1023" s="1673"/>
      <c r="AQ1023" s="1674"/>
      <c r="AR1023" s="68"/>
      <c r="AS1023" s="68"/>
      <c r="AT1023" s="68"/>
      <c r="AU1023" s="68"/>
      <c r="AV1023" s="68"/>
      <c r="AW1023" s="68"/>
      <c r="AX1023" s="3">
        <v>2</v>
      </c>
      <c r="AY1023" s="200">
        <f t="shared" ref="AY1023:AY1032" si="55">IF((_xlfn.XLOOKUP(AX1023,$C$1074:$C$1112,$A$1074:$A$1112,"",0,1))="Yes",AZ1023,0)</f>
        <v>0</v>
      </c>
      <c r="AZ1023" s="1189">
        <v>0.15</v>
      </c>
    </row>
    <row r="1024" spans="1:55" ht="12.95" customHeight="1">
      <c r="A1024" s="14"/>
      <c r="B1024" s="75"/>
      <c r="C1024" s="76"/>
      <c r="D1024" s="1678"/>
      <c r="E1024" s="1679"/>
      <c r="F1024" s="1679"/>
      <c r="G1024" s="1679"/>
      <c r="H1024" s="1679"/>
      <c r="I1024" s="1679"/>
      <c r="J1024" s="1679"/>
      <c r="K1024" s="1679"/>
      <c r="L1024" s="1679"/>
      <c r="M1024" s="1679"/>
      <c r="N1024" s="1679"/>
      <c r="O1024" s="1679"/>
      <c r="P1024" s="1679"/>
      <c r="Q1024" s="1679"/>
      <c r="R1024" s="1679"/>
      <c r="S1024" s="1679"/>
      <c r="T1024" s="1679"/>
      <c r="U1024" s="1679"/>
      <c r="V1024" s="1679"/>
      <c r="W1024" s="1679"/>
      <c r="X1024" s="1679"/>
      <c r="Y1024" s="1679"/>
      <c r="Z1024" s="1679"/>
      <c r="AA1024" s="1679"/>
      <c r="AB1024" s="1679"/>
      <c r="AC1024" s="1679"/>
      <c r="AD1024" s="1679"/>
      <c r="AE1024" s="1680"/>
      <c r="AF1024" s="1790"/>
      <c r="AG1024" s="1791"/>
      <c r="AH1024" s="1791"/>
      <c r="AI1024" s="1792"/>
      <c r="AJ1024" s="1681"/>
      <c r="AK1024" s="1682"/>
      <c r="AL1024" s="1682"/>
      <c r="AM1024" s="1682"/>
      <c r="AN1024" s="1682"/>
      <c r="AO1024" s="1682"/>
      <c r="AP1024" s="1682"/>
      <c r="AQ1024" s="1683"/>
      <c r="AR1024" s="68"/>
      <c r="AS1024" s="68"/>
      <c r="AT1024" s="68"/>
      <c r="AU1024" s="68"/>
      <c r="AV1024" s="68"/>
      <c r="AW1024" s="68"/>
      <c r="AX1024" s="3">
        <v>3</v>
      </c>
      <c r="AY1024" s="200">
        <f t="shared" si="55"/>
        <v>0</v>
      </c>
      <c r="AZ1024" s="1189">
        <v>0.05</v>
      </c>
    </row>
    <row r="1025" spans="1:52" ht="12.95" customHeight="1">
      <c r="A1025" s="14"/>
      <c r="B1025" s="79"/>
      <c r="C1025" s="80" t="s">
        <v>218</v>
      </c>
      <c r="D1025" s="1690" t="s">
        <v>2189</v>
      </c>
      <c r="E1025" s="1691"/>
      <c r="F1025" s="1691"/>
      <c r="G1025" s="1691"/>
      <c r="H1025" s="1691"/>
      <c r="I1025" s="1691"/>
      <c r="J1025" s="1691"/>
      <c r="K1025" s="1691"/>
      <c r="L1025" s="1691"/>
      <c r="M1025" s="1691"/>
      <c r="N1025" s="1691"/>
      <c r="O1025" s="1691"/>
      <c r="P1025" s="1691"/>
      <c r="Q1025" s="1691"/>
      <c r="R1025" s="1691"/>
      <c r="S1025" s="1691"/>
      <c r="T1025" s="1691"/>
      <c r="U1025" s="1691"/>
      <c r="V1025" s="1691"/>
      <c r="W1025" s="1691"/>
      <c r="X1025" s="1691"/>
      <c r="Y1025" s="1691"/>
      <c r="Z1025" s="1691"/>
      <c r="AA1025" s="1691"/>
      <c r="AB1025" s="1691"/>
      <c r="AC1025" s="1691"/>
      <c r="AD1025" s="1691"/>
      <c r="AE1025" s="1692"/>
      <c r="AF1025" s="79"/>
      <c r="AG1025" s="1696" t="s">
        <v>545</v>
      </c>
      <c r="AH1025" s="1697"/>
      <c r="AI1025" s="87"/>
      <c r="AJ1025" s="1669">
        <f>IF(AG1025="yes",AJ1001*AY1033,0)</f>
        <v>5698982.8000000007</v>
      </c>
      <c r="AK1025" s="1670"/>
      <c r="AL1025" s="1670"/>
      <c r="AM1025" s="1670"/>
      <c r="AN1025" s="1670"/>
      <c r="AO1025" s="1670"/>
      <c r="AP1025" s="1670"/>
      <c r="AQ1025" s="1671"/>
      <c r="AR1025" s="68"/>
      <c r="AS1025" s="68"/>
      <c r="AT1025" s="68"/>
      <c r="AU1025" s="68"/>
      <c r="AV1025" s="68"/>
      <c r="AW1025" s="68"/>
      <c r="AX1025" s="3">
        <v>4</v>
      </c>
      <c r="AY1025" s="200">
        <f t="shared" si="55"/>
        <v>0</v>
      </c>
      <c r="AZ1025" s="1189">
        <v>0.02</v>
      </c>
    </row>
    <row r="1026" spans="1:52" ht="12.95" customHeight="1">
      <c r="A1026" s="14"/>
      <c r="B1026" s="73"/>
      <c r="C1026" s="74"/>
      <c r="D1026" s="1675" t="s">
        <v>2593</v>
      </c>
      <c r="E1026" s="1676"/>
      <c r="F1026" s="1676"/>
      <c r="G1026" s="1676"/>
      <c r="H1026" s="1676"/>
      <c r="I1026" s="1676"/>
      <c r="J1026" s="1676"/>
      <c r="K1026" s="1676"/>
      <c r="L1026" s="1676"/>
      <c r="M1026" s="1676"/>
      <c r="N1026" s="1676"/>
      <c r="O1026" s="1676"/>
      <c r="P1026" s="1676"/>
      <c r="Q1026" s="1676"/>
      <c r="R1026" s="1676"/>
      <c r="S1026" s="1676"/>
      <c r="T1026" s="1676"/>
      <c r="U1026" s="1676"/>
      <c r="V1026" s="1676"/>
      <c r="W1026" s="1676"/>
      <c r="X1026" s="1676"/>
      <c r="Y1026" s="1676"/>
      <c r="Z1026" s="1676"/>
      <c r="AA1026" s="1676"/>
      <c r="AB1026" s="1676"/>
      <c r="AC1026" s="1676"/>
      <c r="AD1026" s="1676"/>
      <c r="AE1026" s="1677"/>
      <c r="AF1026" s="1781" t="str">
        <f>IF(AND(AG1025="Yes",AY1033=0),AY1036,"")</f>
        <v/>
      </c>
      <c r="AG1026" s="1782"/>
      <c r="AH1026" s="1782"/>
      <c r="AI1026" s="1783"/>
      <c r="AJ1026" s="1672"/>
      <c r="AK1026" s="1673"/>
      <c r="AL1026" s="1673"/>
      <c r="AM1026" s="1673"/>
      <c r="AN1026" s="1673"/>
      <c r="AO1026" s="1673"/>
      <c r="AP1026" s="1673"/>
      <c r="AQ1026" s="1674"/>
      <c r="AR1026" s="68"/>
      <c r="AS1026" s="68"/>
      <c r="AT1026" s="68"/>
      <c r="AU1026" s="68"/>
      <c r="AV1026" s="68"/>
      <c r="AW1026" s="68"/>
      <c r="AX1026" s="3">
        <v>5</v>
      </c>
      <c r="AY1026" s="200">
        <f t="shared" si="55"/>
        <v>0</v>
      </c>
      <c r="AZ1026" s="1189">
        <v>0.04</v>
      </c>
    </row>
    <row r="1027" spans="1:52" ht="12.95" customHeight="1">
      <c r="A1027" s="14"/>
      <c r="B1027" s="73"/>
      <c r="C1027" s="74"/>
      <c r="D1027" s="1675"/>
      <c r="E1027" s="1676"/>
      <c r="F1027" s="1676"/>
      <c r="G1027" s="1676"/>
      <c r="H1027" s="1676"/>
      <c r="I1027" s="1676"/>
      <c r="J1027" s="1676"/>
      <c r="K1027" s="1676"/>
      <c r="L1027" s="1676"/>
      <c r="M1027" s="1676"/>
      <c r="N1027" s="1676"/>
      <c r="O1027" s="1676"/>
      <c r="P1027" s="1676"/>
      <c r="Q1027" s="1676"/>
      <c r="R1027" s="1676"/>
      <c r="S1027" s="1676"/>
      <c r="T1027" s="1676"/>
      <c r="U1027" s="1676"/>
      <c r="V1027" s="1676"/>
      <c r="W1027" s="1676"/>
      <c r="X1027" s="1676"/>
      <c r="Y1027" s="1676"/>
      <c r="Z1027" s="1676"/>
      <c r="AA1027" s="1676"/>
      <c r="AB1027" s="1676"/>
      <c r="AC1027" s="1676"/>
      <c r="AD1027" s="1676"/>
      <c r="AE1027" s="1677"/>
      <c r="AF1027" s="1781"/>
      <c r="AG1027" s="1782"/>
      <c r="AH1027" s="1782"/>
      <c r="AI1027" s="1783"/>
      <c r="AJ1027" s="1672"/>
      <c r="AK1027" s="1673"/>
      <c r="AL1027" s="1673"/>
      <c r="AM1027" s="1673"/>
      <c r="AN1027" s="1673"/>
      <c r="AO1027" s="1673"/>
      <c r="AP1027" s="1673"/>
      <c r="AQ1027" s="1674"/>
      <c r="AR1027" s="68"/>
      <c r="AS1027" s="68"/>
      <c r="AT1027" s="68"/>
      <c r="AU1027" s="68"/>
      <c r="AV1027" s="68"/>
      <c r="AW1027" s="68"/>
      <c r="AX1027" s="3">
        <v>6</v>
      </c>
      <c r="AY1027" s="200">
        <f t="shared" si="55"/>
        <v>0</v>
      </c>
      <c r="AZ1027" s="1189">
        <v>0.04</v>
      </c>
    </row>
    <row r="1028" spans="1:52" ht="12.95" customHeight="1">
      <c r="A1028" s="14"/>
      <c r="B1028" s="81"/>
      <c r="C1028" s="82"/>
      <c r="D1028" s="1678"/>
      <c r="E1028" s="1679"/>
      <c r="F1028" s="1679"/>
      <c r="G1028" s="1679"/>
      <c r="H1028" s="1679"/>
      <c r="I1028" s="1679"/>
      <c r="J1028" s="1679"/>
      <c r="K1028" s="1679"/>
      <c r="L1028" s="1679"/>
      <c r="M1028" s="1679"/>
      <c r="N1028" s="1679"/>
      <c r="O1028" s="1679"/>
      <c r="P1028" s="1679"/>
      <c r="Q1028" s="1679"/>
      <c r="R1028" s="1679"/>
      <c r="S1028" s="1679"/>
      <c r="T1028" s="1679"/>
      <c r="U1028" s="1679"/>
      <c r="V1028" s="1679"/>
      <c r="W1028" s="1679"/>
      <c r="X1028" s="1679"/>
      <c r="Y1028" s="1679"/>
      <c r="Z1028" s="1679"/>
      <c r="AA1028" s="1679"/>
      <c r="AB1028" s="1679"/>
      <c r="AC1028" s="1679"/>
      <c r="AD1028" s="1679"/>
      <c r="AE1028" s="1680"/>
      <c r="AF1028" s="1784"/>
      <c r="AG1028" s="1785"/>
      <c r="AH1028" s="1785"/>
      <c r="AI1028" s="1786"/>
      <c r="AJ1028" s="1681"/>
      <c r="AK1028" s="1682"/>
      <c r="AL1028" s="1682"/>
      <c r="AM1028" s="1682"/>
      <c r="AN1028" s="1682"/>
      <c r="AO1028" s="1682"/>
      <c r="AP1028" s="1682"/>
      <c r="AQ1028" s="1683"/>
      <c r="AR1028" s="68"/>
      <c r="AS1028" s="68"/>
      <c r="AT1028" s="68"/>
      <c r="AU1028" s="68"/>
      <c r="AV1028" s="68"/>
      <c r="AW1028" s="68"/>
      <c r="AX1028" s="3">
        <v>7</v>
      </c>
      <c r="AY1028" s="200">
        <f t="shared" si="55"/>
        <v>0</v>
      </c>
      <c r="AZ1028" s="1189">
        <v>0.01</v>
      </c>
    </row>
    <row r="1029" spans="1:52" ht="12.95" customHeight="1">
      <c r="A1029" s="14"/>
      <c r="B1029" s="79"/>
      <c r="C1029" s="80" t="s">
        <v>223</v>
      </c>
      <c r="D1029" s="1716" t="s">
        <v>1291</v>
      </c>
      <c r="E1029" s="1717"/>
      <c r="F1029" s="1717"/>
      <c r="G1029" s="1717"/>
      <c r="H1029" s="1717"/>
      <c r="I1029" s="1717"/>
      <c r="J1029" s="1717"/>
      <c r="K1029" s="1717"/>
      <c r="L1029" s="1717"/>
      <c r="M1029" s="1717"/>
      <c r="N1029" s="1717"/>
      <c r="O1029" s="1717"/>
      <c r="P1029" s="1717"/>
      <c r="Q1029" s="1717"/>
      <c r="R1029" s="1717"/>
      <c r="S1029" s="1717"/>
      <c r="T1029" s="1717"/>
      <c r="U1029" s="1717"/>
      <c r="V1029" s="1717"/>
      <c r="W1029" s="1717"/>
      <c r="X1029" s="1717"/>
      <c r="Y1029" s="1717"/>
      <c r="Z1029" s="1717"/>
      <c r="AA1029" s="1717"/>
      <c r="AB1029" s="1717"/>
      <c r="AC1029" s="1717"/>
      <c r="AD1029" s="1717"/>
      <c r="AE1029" s="1718"/>
      <c r="AF1029" s="79"/>
      <c r="AG1029" s="1696" t="s">
        <v>669</v>
      </c>
      <c r="AH1029" s="1697"/>
      <c r="AI1029" s="87"/>
      <c r="AJ1029" s="1669">
        <f>ROUND(IF(AND(AG1029="Yes",J1033&lt;&gt;"N/A",AF1032&lt;&gt;""),MIN(AF1032,(0.15*AJ1001)),0),0)</f>
        <v>0</v>
      </c>
      <c r="AK1029" s="1670"/>
      <c r="AL1029" s="1670"/>
      <c r="AM1029" s="1670"/>
      <c r="AN1029" s="1670"/>
      <c r="AO1029" s="1670"/>
      <c r="AP1029" s="1670"/>
      <c r="AQ1029" s="1671"/>
      <c r="AR1029" s="68"/>
      <c r="AS1029" s="68"/>
      <c r="AT1029" s="68"/>
      <c r="AU1029" s="68"/>
      <c r="AV1029" s="68"/>
      <c r="AW1029" s="68"/>
      <c r="AX1029" s="3">
        <v>8</v>
      </c>
      <c r="AY1029" s="200">
        <f t="shared" si="55"/>
        <v>0</v>
      </c>
      <c r="AZ1029" s="1189">
        <v>0.01</v>
      </c>
    </row>
    <row r="1030" spans="1:52" ht="12.95" customHeight="1">
      <c r="A1030" s="14"/>
      <c r="B1030" s="81"/>
      <c r="C1030" s="84"/>
      <c r="D1030" s="1719"/>
      <c r="E1030" s="1720"/>
      <c r="F1030" s="1720"/>
      <c r="G1030" s="1720"/>
      <c r="H1030" s="1720"/>
      <c r="I1030" s="1720"/>
      <c r="J1030" s="1720"/>
      <c r="K1030" s="1720"/>
      <c r="L1030" s="1720"/>
      <c r="M1030" s="1720"/>
      <c r="N1030" s="1720"/>
      <c r="O1030" s="1720"/>
      <c r="P1030" s="1720"/>
      <c r="Q1030" s="1720"/>
      <c r="R1030" s="1720"/>
      <c r="S1030" s="1720"/>
      <c r="T1030" s="1720"/>
      <c r="U1030" s="1720"/>
      <c r="V1030" s="1720"/>
      <c r="W1030" s="1720"/>
      <c r="X1030" s="1720"/>
      <c r="Y1030" s="1720"/>
      <c r="Z1030" s="1720"/>
      <c r="AA1030" s="1720"/>
      <c r="AB1030" s="1720"/>
      <c r="AC1030" s="1720"/>
      <c r="AD1030" s="1720"/>
      <c r="AE1030" s="1721"/>
      <c r="AF1030" s="1741" t="str">
        <f>IF(AG1029="yes","Please Select Type and Enter Amount:","")</f>
        <v/>
      </c>
      <c r="AG1030" s="1742"/>
      <c r="AH1030" s="1742"/>
      <c r="AI1030" s="1743"/>
      <c r="AJ1030" s="1672"/>
      <c r="AK1030" s="1673"/>
      <c r="AL1030" s="1673"/>
      <c r="AM1030" s="1673"/>
      <c r="AN1030" s="1673"/>
      <c r="AO1030" s="1673"/>
      <c r="AP1030" s="1673"/>
      <c r="AQ1030" s="1674"/>
      <c r="AR1030" s="68"/>
      <c r="AS1030" s="68"/>
      <c r="AT1030" s="68"/>
      <c r="AU1030" s="68"/>
      <c r="AV1030" s="68"/>
      <c r="AW1030" s="68"/>
      <c r="AX1030" s="3">
        <v>9</v>
      </c>
      <c r="AY1030" s="200">
        <f t="shared" si="55"/>
        <v>0</v>
      </c>
      <c r="AZ1030" s="1189">
        <v>0.01</v>
      </c>
    </row>
    <row r="1031" spans="1:52" ht="12.95" customHeight="1">
      <c r="A1031" s="14"/>
      <c r="B1031" s="81"/>
      <c r="C1031" s="84"/>
      <c r="D1031" s="1675" t="s">
        <v>1292</v>
      </c>
      <c r="E1031" s="1676"/>
      <c r="F1031" s="1676"/>
      <c r="G1031" s="1676"/>
      <c r="H1031" s="1676"/>
      <c r="I1031" s="1676"/>
      <c r="J1031" s="1676"/>
      <c r="K1031" s="1676"/>
      <c r="L1031" s="1676"/>
      <c r="M1031" s="1676"/>
      <c r="N1031" s="1676"/>
      <c r="O1031" s="1676"/>
      <c r="P1031" s="1676"/>
      <c r="Q1031" s="1676"/>
      <c r="R1031" s="1676"/>
      <c r="S1031" s="1676"/>
      <c r="T1031" s="1676"/>
      <c r="U1031" s="1676"/>
      <c r="V1031" s="1676"/>
      <c r="W1031" s="1676"/>
      <c r="X1031" s="1676"/>
      <c r="Y1031" s="1676"/>
      <c r="Z1031" s="1676"/>
      <c r="AA1031" s="1676"/>
      <c r="AB1031" s="1676"/>
      <c r="AC1031" s="1676"/>
      <c r="AD1031" s="1676"/>
      <c r="AE1031" s="1677"/>
      <c r="AF1031" s="1741"/>
      <c r="AG1031" s="1742"/>
      <c r="AH1031" s="1742"/>
      <c r="AI1031" s="1743"/>
      <c r="AJ1031" s="1672"/>
      <c r="AK1031" s="1673"/>
      <c r="AL1031" s="1673"/>
      <c r="AM1031" s="1673"/>
      <c r="AN1031" s="1673"/>
      <c r="AO1031" s="1673"/>
      <c r="AP1031" s="1673"/>
      <c r="AQ1031" s="1674"/>
      <c r="AR1031" s="68"/>
      <c r="AS1031" s="68"/>
      <c r="AT1031" s="68"/>
      <c r="AU1031" s="68"/>
      <c r="AV1031" s="68"/>
      <c r="AW1031" s="68"/>
      <c r="AX1031" s="3">
        <v>10</v>
      </c>
      <c r="AY1031" s="200">
        <f t="shared" si="55"/>
        <v>0</v>
      </c>
      <c r="AZ1031" s="1189">
        <v>0.02</v>
      </c>
    </row>
    <row r="1032" spans="1:52" ht="12.95" customHeight="1">
      <c r="A1032" s="14"/>
      <c r="B1032" s="81"/>
      <c r="C1032" s="84"/>
      <c r="D1032" s="1675"/>
      <c r="E1032" s="1676"/>
      <c r="F1032" s="1676"/>
      <c r="G1032" s="1676"/>
      <c r="H1032" s="1676"/>
      <c r="I1032" s="1676"/>
      <c r="J1032" s="1676"/>
      <c r="K1032" s="1676"/>
      <c r="L1032" s="1676"/>
      <c r="M1032" s="1676"/>
      <c r="N1032" s="1676"/>
      <c r="O1032" s="1676"/>
      <c r="P1032" s="1676"/>
      <c r="Q1032" s="1676"/>
      <c r="R1032" s="1676"/>
      <c r="S1032" s="1676"/>
      <c r="T1032" s="1676"/>
      <c r="U1032" s="1676"/>
      <c r="V1032" s="1676"/>
      <c r="W1032" s="1676"/>
      <c r="X1032" s="1676"/>
      <c r="Y1032" s="1676"/>
      <c r="Z1032" s="1676"/>
      <c r="AA1032" s="1676"/>
      <c r="AB1032" s="1676"/>
      <c r="AC1032" s="1676"/>
      <c r="AD1032" s="1676"/>
      <c r="AE1032" s="1677"/>
      <c r="AF1032" s="1737"/>
      <c r="AG1032" s="1737"/>
      <c r="AH1032" s="1737"/>
      <c r="AI1032" s="1737"/>
      <c r="AJ1032" s="1672"/>
      <c r="AK1032" s="1673"/>
      <c r="AL1032" s="1673"/>
      <c r="AM1032" s="1673"/>
      <c r="AN1032" s="1673"/>
      <c r="AO1032" s="1673"/>
      <c r="AP1032" s="1673"/>
      <c r="AQ1032" s="1674"/>
      <c r="AR1032" s="68"/>
      <c r="AS1032" s="68"/>
      <c r="AT1032" s="68"/>
      <c r="AU1032" s="68"/>
      <c r="AV1032" s="68"/>
      <c r="AW1032" s="68"/>
      <c r="AX1032" s="3">
        <v>11</v>
      </c>
      <c r="AY1032" s="200">
        <f t="shared" si="55"/>
        <v>0</v>
      </c>
      <c r="AZ1032" s="1189">
        <v>0.02</v>
      </c>
    </row>
    <row r="1033" spans="1:52" ht="12.95" customHeight="1">
      <c r="A1033" s="14"/>
      <c r="B1033" s="81"/>
      <c r="C1033" s="84"/>
      <c r="D1033" s="526" t="s">
        <v>359</v>
      </c>
      <c r="E1033" s="90"/>
      <c r="F1033" s="90"/>
      <c r="G1033" s="104"/>
      <c r="H1033" s="104"/>
      <c r="I1033" s="49"/>
      <c r="J1033" s="1777" t="s">
        <v>591</v>
      </c>
      <c r="K1033" s="1778"/>
      <c r="L1033" s="1778"/>
      <c r="M1033" s="1778"/>
      <c r="N1033" s="1778"/>
      <c r="O1033" s="1778"/>
      <c r="P1033" s="1778"/>
      <c r="Q1033" s="1778"/>
      <c r="R1033" s="1778"/>
      <c r="S1033" s="1778"/>
      <c r="T1033" s="1778"/>
      <c r="U1033" s="1778"/>
      <c r="V1033" s="1778"/>
      <c r="W1033" s="1778"/>
      <c r="X1033" s="1778"/>
      <c r="Y1033" s="1778"/>
      <c r="Z1033" s="1778"/>
      <c r="AA1033" s="1778"/>
      <c r="AB1033" s="1778"/>
      <c r="AC1033" s="1778"/>
      <c r="AD1033" s="1778"/>
      <c r="AE1033" s="1779"/>
      <c r="AF1033" s="1737"/>
      <c r="AG1033" s="1737"/>
      <c r="AH1033" s="1737"/>
      <c r="AI1033" s="1737"/>
      <c r="AJ1033" s="1681"/>
      <c r="AK1033" s="1682"/>
      <c r="AL1033" s="1682"/>
      <c r="AM1033" s="1682"/>
      <c r="AN1033" s="1682"/>
      <c r="AO1033" s="1682"/>
      <c r="AP1033" s="1682"/>
      <c r="AQ1033" s="1683"/>
      <c r="AR1033" s="68"/>
      <c r="AS1033" s="68"/>
      <c r="AT1033" s="68"/>
      <c r="AU1033" s="68"/>
      <c r="AV1033" s="68"/>
      <c r="AW1033" s="68"/>
      <c r="AX1033" s="1027" t="s">
        <v>2530</v>
      </c>
      <c r="AY1033" s="201">
        <f>IF(SUM(AY1022:AY1032)&lt;=0.2,SUM(AY1022:AY1032),0.2)</f>
        <v>0.2</v>
      </c>
    </row>
    <row r="1034" spans="1:52" ht="12.95" customHeight="1">
      <c r="A1034" s="14"/>
      <c r="B1034" s="79"/>
      <c r="C1034" s="80" t="s">
        <v>229</v>
      </c>
      <c r="D1034" s="1651" t="s">
        <v>1293</v>
      </c>
      <c r="E1034" s="1652"/>
      <c r="F1034" s="1652"/>
      <c r="G1034" s="1652"/>
      <c r="H1034" s="1652"/>
      <c r="I1034" s="1652"/>
      <c r="J1034" s="1652"/>
      <c r="K1034" s="1652"/>
      <c r="L1034" s="1652"/>
      <c r="M1034" s="1652"/>
      <c r="N1034" s="1652"/>
      <c r="O1034" s="1652"/>
      <c r="P1034" s="1652"/>
      <c r="Q1034" s="1652"/>
      <c r="R1034" s="1652"/>
      <c r="S1034" s="1652"/>
      <c r="T1034" s="1652"/>
      <c r="U1034" s="1652"/>
      <c r="V1034" s="1652"/>
      <c r="W1034" s="1652"/>
      <c r="X1034" s="1652"/>
      <c r="Y1034" s="1652"/>
      <c r="Z1034" s="1652"/>
      <c r="AA1034" s="1652"/>
      <c r="AB1034" s="1652"/>
      <c r="AC1034" s="1652"/>
      <c r="AD1034" s="1652"/>
      <c r="AE1034" s="1653"/>
      <c r="AF1034" s="79"/>
      <c r="AG1034" s="1696" t="s">
        <v>669</v>
      </c>
      <c r="AH1034" s="1697"/>
      <c r="AI1034" s="87"/>
      <c r="AJ1034" s="1669">
        <f>ROUND(IF(AG1034="Yes",AF1036,0),0)</f>
        <v>0</v>
      </c>
      <c r="AK1034" s="1670"/>
      <c r="AL1034" s="1670"/>
      <c r="AM1034" s="1670"/>
      <c r="AN1034" s="1670"/>
      <c r="AO1034" s="1670"/>
      <c r="AP1034" s="1670"/>
      <c r="AQ1034" s="1671"/>
      <c r="AR1034" s="68"/>
      <c r="AS1034" s="68"/>
      <c r="AT1034" s="68"/>
      <c r="AU1034" s="68"/>
      <c r="AV1034" s="68"/>
      <c r="AW1034" s="68"/>
      <c r="AX1034" s="68"/>
      <c r="AY1034" s="68"/>
    </row>
    <row r="1035" spans="1:52" ht="12.95" customHeight="1">
      <c r="A1035" s="14"/>
      <c r="B1035" s="73"/>
      <c r="C1035" s="74"/>
      <c r="D1035" s="1675" t="s">
        <v>1679</v>
      </c>
      <c r="E1035" s="1676"/>
      <c r="F1035" s="1676"/>
      <c r="G1035" s="1676"/>
      <c r="H1035" s="1676"/>
      <c r="I1035" s="1676"/>
      <c r="J1035" s="1676"/>
      <c r="K1035" s="1676"/>
      <c r="L1035" s="1676"/>
      <c r="M1035" s="1676"/>
      <c r="N1035" s="1676"/>
      <c r="O1035" s="1676"/>
      <c r="P1035" s="1676"/>
      <c r="Q1035" s="1676"/>
      <c r="R1035" s="1676"/>
      <c r="S1035" s="1676"/>
      <c r="T1035" s="1676"/>
      <c r="U1035" s="1676"/>
      <c r="V1035" s="1676"/>
      <c r="W1035" s="1676"/>
      <c r="X1035" s="1676"/>
      <c r="Y1035" s="1676"/>
      <c r="Z1035" s="1676"/>
      <c r="AA1035" s="1676"/>
      <c r="AB1035" s="1676"/>
      <c r="AC1035" s="1676"/>
      <c r="AD1035" s="1676"/>
      <c r="AE1035" s="1677"/>
      <c r="AF1035" s="1722" t="str">
        <f>IF(AG1034="yes","Enter Amount:","")</f>
        <v/>
      </c>
      <c r="AG1035" s="1723"/>
      <c r="AH1035" s="1723"/>
      <c r="AI1035" s="1724"/>
      <c r="AJ1035" s="1672"/>
      <c r="AK1035" s="1673"/>
      <c r="AL1035" s="1673"/>
      <c r="AM1035" s="1673"/>
      <c r="AN1035" s="1673"/>
      <c r="AO1035" s="1673"/>
      <c r="AP1035" s="1673"/>
      <c r="AQ1035" s="1674"/>
      <c r="AR1035" s="68"/>
      <c r="AS1035" s="68"/>
      <c r="AT1035" s="68"/>
      <c r="AU1035" s="68"/>
      <c r="AV1035" s="68"/>
      <c r="AW1035" s="68"/>
      <c r="AX1035" s="68"/>
      <c r="AY1035" s="68"/>
    </row>
    <row r="1036" spans="1:52" ht="12.95" customHeight="1">
      <c r="A1036" s="14"/>
      <c r="B1036" s="73"/>
      <c r="C1036" s="74"/>
      <c r="D1036" s="1675"/>
      <c r="E1036" s="1676"/>
      <c r="F1036" s="1676"/>
      <c r="G1036" s="1676"/>
      <c r="H1036" s="1676"/>
      <c r="I1036" s="1676"/>
      <c r="J1036" s="1676"/>
      <c r="K1036" s="1676"/>
      <c r="L1036" s="1676"/>
      <c r="M1036" s="1676"/>
      <c r="N1036" s="1676"/>
      <c r="O1036" s="1676"/>
      <c r="P1036" s="1676"/>
      <c r="Q1036" s="1676"/>
      <c r="R1036" s="1676"/>
      <c r="S1036" s="1676"/>
      <c r="T1036" s="1676"/>
      <c r="U1036" s="1676"/>
      <c r="V1036" s="1676"/>
      <c r="W1036" s="1676"/>
      <c r="X1036" s="1676"/>
      <c r="Y1036" s="1676"/>
      <c r="Z1036" s="1676"/>
      <c r="AA1036" s="1676"/>
      <c r="AB1036" s="1676"/>
      <c r="AC1036" s="1676"/>
      <c r="AD1036" s="1676"/>
      <c r="AE1036" s="1677"/>
      <c r="AF1036" s="1737"/>
      <c r="AG1036" s="1737"/>
      <c r="AH1036" s="1737"/>
      <c r="AI1036" s="1737"/>
      <c r="AJ1036" s="1672"/>
      <c r="AK1036" s="1673"/>
      <c r="AL1036" s="1673"/>
      <c r="AM1036" s="1673"/>
      <c r="AN1036" s="1673"/>
      <c r="AO1036" s="1673"/>
      <c r="AP1036" s="1673"/>
      <c r="AQ1036" s="1674"/>
      <c r="AR1036" s="68"/>
      <c r="AS1036" s="68"/>
      <c r="AT1036" s="68"/>
      <c r="AU1036" s="68"/>
      <c r="AV1036" s="68"/>
      <c r="AW1036" s="68"/>
      <c r="AX1036" s="68"/>
      <c r="AY1036" s="14" t="str">
        <f>"Select items beginning on row #"&amp;TEXT(ROW(A1070),"#")&amp;" to claim this boost"</f>
        <v>Select items beginning on row #1070 to claim this boost</v>
      </c>
    </row>
    <row r="1037" spans="1:52" ht="12.95" customHeight="1">
      <c r="A1037" s="14"/>
      <c r="B1037" s="85"/>
      <c r="C1037" s="84"/>
      <c r="D1037" s="1678"/>
      <c r="E1037" s="1679"/>
      <c r="F1037" s="1679"/>
      <c r="G1037" s="1679"/>
      <c r="H1037" s="1679"/>
      <c r="I1037" s="1679"/>
      <c r="J1037" s="1679"/>
      <c r="K1037" s="1679"/>
      <c r="L1037" s="1679"/>
      <c r="M1037" s="1679"/>
      <c r="N1037" s="1679"/>
      <c r="O1037" s="1679"/>
      <c r="P1037" s="1679"/>
      <c r="Q1037" s="1679"/>
      <c r="R1037" s="1679"/>
      <c r="S1037" s="1679"/>
      <c r="T1037" s="1679"/>
      <c r="U1037" s="1679"/>
      <c r="V1037" s="1679"/>
      <c r="W1037" s="1679"/>
      <c r="X1037" s="1679"/>
      <c r="Y1037" s="1679"/>
      <c r="Z1037" s="1679"/>
      <c r="AA1037" s="1679"/>
      <c r="AB1037" s="1679"/>
      <c r="AC1037" s="1679"/>
      <c r="AD1037" s="1679"/>
      <c r="AE1037" s="1680"/>
      <c r="AF1037" s="1737"/>
      <c r="AG1037" s="1737"/>
      <c r="AH1037" s="1737"/>
      <c r="AI1037" s="1737"/>
      <c r="AJ1037" s="1681"/>
      <c r="AK1037" s="1682"/>
      <c r="AL1037" s="1682"/>
      <c r="AM1037" s="1682"/>
      <c r="AN1037" s="1682"/>
      <c r="AO1037" s="1682"/>
      <c r="AP1037" s="1682"/>
      <c r="AQ1037" s="1683"/>
      <c r="AR1037" s="68"/>
      <c r="AS1037" s="68"/>
      <c r="AT1037" s="68"/>
      <c r="AU1037" s="68"/>
      <c r="AV1037" s="68"/>
      <c r="AW1037" s="68"/>
      <c r="AX1037" s="68"/>
      <c r="AY1037" s="68"/>
    </row>
    <row r="1038" spans="1:52" ht="12.95" customHeight="1">
      <c r="A1038" s="14"/>
      <c r="B1038" s="79"/>
      <c r="C1038" s="80" t="s">
        <v>234</v>
      </c>
      <c r="D1038" s="1690" t="s">
        <v>1294</v>
      </c>
      <c r="E1038" s="1691"/>
      <c r="F1038" s="1691"/>
      <c r="G1038" s="1691"/>
      <c r="H1038" s="1691"/>
      <c r="I1038" s="1691"/>
      <c r="J1038" s="1691"/>
      <c r="K1038" s="1691"/>
      <c r="L1038" s="1691"/>
      <c r="M1038" s="1691"/>
      <c r="N1038" s="1691"/>
      <c r="O1038" s="1691"/>
      <c r="P1038" s="1691"/>
      <c r="Q1038" s="1691"/>
      <c r="R1038" s="1691"/>
      <c r="S1038" s="1691"/>
      <c r="T1038" s="1691"/>
      <c r="U1038" s="1691"/>
      <c r="V1038" s="1691"/>
      <c r="W1038" s="1691"/>
      <c r="X1038" s="1691"/>
      <c r="Y1038" s="1691"/>
      <c r="Z1038" s="1691"/>
      <c r="AA1038" s="1691"/>
      <c r="AB1038" s="1691"/>
      <c r="AC1038" s="1691"/>
      <c r="AD1038" s="1691"/>
      <c r="AE1038" s="1692"/>
      <c r="AF1038" s="79"/>
      <c r="AG1038" s="1696" t="s">
        <v>669</v>
      </c>
      <c r="AH1038" s="1697"/>
      <c r="AI1038" s="87"/>
      <c r="AJ1038" s="1669">
        <f>ROUND(IF(AG1038="yes",(AJ1001*0.1),0),0)</f>
        <v>0</v>
      </c>
      <c r="AK1038" s="1670"/>
      <c r="AL1038" s="1670"/>
      <c r="AM1038" s="1670"/>
      <c r="AN1038" s="1670"/>
      <c r="AO1038" s="1670"/>
      <c r="AP1038" s="1670"/>
      <c r="AQ1038" s="1671"/>
      <c r="AR1038" s="68"/>
      <c r="AS1038" s="68"/>
      <c r="AT1038" s="68"/>
      <c r="AU1038" s="68"/>
      <c r="AV1038" s="68"/>
      <c r="AW1038" s="68"/>
      <c r="AX1038" s="68"/>
      <c r="AY1038" s="68"/>
    </row>
    <row r="1039" spans="1:52" ht="12.95" customHeight="1">
      <c r="A1039" s="14"/>
      <c r="B1039" s="73"/>
      <c r="C1039" s="74"/>
      <c r="D1039" s="1675" t="s">
        <v>1295</v>
      </c>
      <c r="E1039" s="1676"/>
      <c r="F1039" s="1676"/>
      <c r="G1039" s="1676"/>
      <c r="H1039" s="1676"/>
      <c r="I1039" s="1676"/>
      <c r="J1039" s="1676"/>
      <c r="K1039" s="1676"/>
      <c r="L1039" s="1676"/>
      <c r="M1039" s="1676"/>
      <c r="N1039" s="1676"/>
      <c r="O1039" s="1676"/>
      <c r="P1039" s="1676"/>
      <c r="Q1039" s="1676"/>
      <c r="R1039" s="1676"/>
      <c r="S1039" s="1676"/>
      <c r="T1039" s="1676"/>
      <c r="U1039" s="1676"/>
      <c r="V1039" s="1676"/>
      <c r="W1039" s="1676"/>
      <c r="X1039" s="1676"/>
      <c r="Y1039" s="1676"/>
      <c r="Z1039" s="1676"/>
      <c r="AA1039" s="1676"/>
      <c r="AB1039" s="1676"/>
      <c r="AC1039" s="1676"/>
      <c r="AD1039" s="1676"/>
      <c r="AE1039" s="1677"/>
      <c r="AF1039" s="73"/>
      <c r="AG1039" s="14"/>
      <c r="AH1039" s="14"/>
      <c r="AI1039" s="83"/>
      <c r="AJ1039" s="1672"/>
      <c r="AK1039" s="1673"/>
      <c r="AL1039" s="1673"/>
      <c r="AM1039" s="1673"/>
      <c r="AN1039" s="1673"/>
      <c r="AO1039" s="1673"/>
      <c r="AP1039" s="1673"/>
      <c r="AQ1039" s="1674"/>
      <c r="AR1039" s="68"/>
      <c r="AS1039" s="68"/>
      <c r="AT1039" s="68"/>
      <c r="AU1039" s="68"/>
      <c r="AV1039" s="68"/>
      <c r="AW1039" s="68"/>
      <c r="AX1039" s="68"/>
      <c r="AY1039" s="68"/>
    </row>
    <row r="1040" spans="1:52" ht="12.95" customHeight="1">
      <c r="A1040" s="14"/>
      <c r="B1040" s="77"/>
      <c r="C1040" s="74"/>
      <c r="D1040" s="1678"/>
      <c r="E1040" s="1679"/>
      <c r="F1040" s="1679"/>
      <c r="G1040" s="1679"/>
      <c r="H1040" s="1679"/>
      <c r="I1040" s="1679"/>
      <c r="J1040" s="1679"/>
      <c r="K1040" s="1679"/>
      <c r="L1040" s="1679"/>
      <c r="M1040" s="1679"/>
      <c r="N1040" s="1679"/>
      <c r="O1040" s="1679"/>
      <c r="P1040" s="1679"/>
      <c r="Q1040" s="1679"/>
      <c r="R1040" s="1679"/>
      <c r="S1040" s="1679"/>
      <c r="T1040" s="1679"/>
      <c r="U1040" s="1679"/>
      <c r="V1040" s="1679"/>
      <c r="W1040" s="1679"/>
      <c r="X1040" s="1679"/>
      <c r="Y1040" s="1679"/>
      <c r="Z1040" s="1679"/>
      <c r="AA1040" s="1679"/>
      <c r="AB1040" s="1679"/>
      <c r="AC1040" s="1679"/>
      <c r="AD1040" s="1679"/>
      <c r="AE1040" s="1680"/>
      <c r="AF1040" s="73"/>
      <c r="AG1040" s="14"/>
      <c r="AH1040" s="14"/>
      <c r="AI1040" s="83"/>
      <c r="AJ1040" s="1681"/>
      <c r="AK1040" s="1682"/>
      <c r="AL1040" s="1682"/>
      <c r="AM1040" s="1682"/>
      <c r="AN1040" s="1682"/>
      <c r="AO1040" s="1682"/>
      <c r="AP1040" s="1682"/>
      <c r="AQ1040" s="1683"/>
      <c r="AR1040" s="68"/>
      <c r="AS1040" s="68"/>
      <c r="AT1040" s="68"/>
      <c r="AU1040" s="68"/>
      <c r="AV1040" s="68"/>
      <c r="AW1040" s="68"/>
      <c r="AX1040" s="68"/>
      <c r="AY1040" s="68"/>
    </row>
    <row r="1041" spans="1:57" ht="12.95" customHeight="1">
      <c r="A1041" s="14"/>
      <c r="B1041" s="73"/>
      <c r="C1041" s="339" t="s">
        <v>687</v>
      </c>
      <c r="D1041" s="1651" t="s">
        <v>1675</v>
      </c>
      <c r="E1041" s="1652"/>
      <c r="F1041" s="1652"/>
      <c r="G1041" s="1652"/>
      <c r="H1041" s="1652"/>
      <c r="I1041" s="1652"/>
      <c r="J1041" s="1652"/>
      <c r="K1041" s="1652"/>
      <c r="L1041" s="1652"/>
      <c r="M1041" s="1652"/>
      <c r="N1041" s="1652"/>
      <c r="O1041" s="1652"/>
      <c r="P1041" s="1652"/>
      <c r="Q1041" s="1652"/>
      <c r="R1041" s="1652"/>
      <c r="S1041" s="1652"/>
      <c r="T1041" s="1652"/>
      <c r="U1041" s="1652"/>
      <c r="V1041" s="1652"/>
      <c r="W1041" s="1652"/>
      <c r="X1041" s="1652"/>
      <c r="Y1041" s="1652"/>
      <c r="Z1041" s="1652"/>
      <c r="AA1041" s="1652"/>
      <c r="AB1041" s="1652"/>
      <c r="AC1041" s="1652"/>
      <c r="AD1041" s="1652"/>
      <c r="AE1041" s="1653"/>
      <c r="AF1041" s="79"/>
      <c r="AG1041" s="1696" t="s">
        <v>669</v>
      </c>
      <c r="AH1041" s="1697"/>
      <c r="AI1041" s="87"/>
      <c r="AJ1041" s="1669">
        <f>ROUND(IF(AG1041="yes",(AJ1001*0.15),0),0)</f>
        <v>0</v>
      </c>
      <c r="AK1041" s="1670"/>
      <c r="AL1041" s="1670"/>
      <c r="AM1041" s="1670"/>
      <c r="AN1041" s="1670"/>
      <c r="AO1041" s="1670"/>
      <c r="AP1041" s="1670"/>
      <c r="AQ1041" s="1671"/>
      <c r="AR1041" s="68"/>
      <c r="AS1041" s="68"/>
      <c r="AT1041" s="68"/>
      <c r="AU1041" s="68"/>
      <c r="AV1041" s="68"/>
      <c r="AW1041" s="68"/>
      <c r="AX1041" s="68"/>
      <c r="AY1041" s="68"/>
    </row>
    <row r="1042" spans="1:57" ht="12.95" customHeight="1">
      <c r="A1042" s="14"/>
      <c r="B1042" s="73"/>
      <c r="C1042" s="74"/>
      <c r="D1042" s="1698" t="s">
        <v>1676</v>
      </c>
      <c r="E1042" s="1502"/>
      <c r="F1042" s="1502"/>
      <c r="G1042" s="1502"/>
      <c r="H1042" s="1502"/>
      <c r="I1042" s="1502"/>
      <c r="J1042" s="1502"/>
      <c r="K1042" s="1502"/>
      <c r="L1042" s="1502"/>
      <c r="M1042" s="1502"/>
      <c r="N1042" s="1502"/>
      <c r="O1042" s="1502"/>
      <c r="P1042" s="1502"/>
      <c r="Q1042" s="1502"/>
      <c r="R1042" s="1502"/>
      <c r="S1042" s="1502"/>
      <c r="T1042" s="1502"/>
      <c r="U1042" s="1502"/>
      <c r="V1042" s="1502"/>
      <c r="W1042" s="1502"/>
      <c r="X1042" s="1502"/>
      <c r="Y1042" s="1502"/>
      <c r="Z1042" s="1502"/>
      <c r="AA1042" s="1502"/>
      <c r="AB1042" s="1502"/>
      <c r="AC1042" s="1502"/>
      <c r="AD1042" s="1502"/>
      <c r="AE1042" s="1699"/>
      <c r="AF1042" s="911"/>
      <c r="AG1042" s="912"/>
      <c r="AH1042" s="912"/>
      <c r="AI1042" s="913"/>
      <c r="AJ1042" s="1672"/>
      <c r="AK1042" s="1673"/>
      <c r="AL1042" s="1673"/>
      <c r="AM1042" s="1673"/>
      <c r="AN1042" s="1673"/>
      <c r="AO1042" s="1673"/>
      <c r="AP1042" s="1673"/>
      <c r="AQ1042" s="1674"/>
      <c r="AR1042" s="68"/>
      <c r="AS1042" s="68"/>
      <c r="AT1042" s="68"/>
      <c r="AU1042" s="68"/>
      <c r="AV1042" s="68"/>
      <c r="AW1042" s="68"/>
      <c r="AX1042" s="68"/>
      <c r="AY1042" s="68"/>
    </row>
    <row r="1043" spans="1:57" ht="12.95" customHeight="1">
      <c r="A1043" s="14"/>
      <c r="B1043" s="73"/>
      <c r="C1043" s="74"/>
      <c r="D1043" s="1698"/>
      <c r="E1043" s="1502"/>
      <c r="F1043" s="1502"/>
      <c r="G1043" s="1502"/>
      <c r="H1043" s="1502"/>
      <c r="I1043" s="1502"/>
      <c r="J1043" s="1502"/>
      <c r="K1043" s="1502"/>
      <c r="L1043" s="1502"/>
      <c r="M1043" s="1502"/>
      <c r="N1043" s="1502"/>
      <c r="O1043" s="1502"/>
      <c r="P1043" s="1502"/>
      <c r="Q1043" s="1502"/>
      <c r="R1043" s="1502"/>
      <c r="S1043" s="1502"/>
      <c r="T1043" s="1502"/>
      <c r="U1043" s="1502"/>
      <c r="V1043" s="1502"/>
      <c r="W1043" s="1502"/>
      <c r="X1043" s="1502"/>
      <c r="Y1043" s="1502"/>
      <c r="Z1043" s="1502"/>
      <c r="AA1043" s="1502"/>
      <c r="AB1043" s="1502"/>
      <c r="AC1043" s="1502"/>
      <c r="AD1043" s="1502"/>
      <c r="AE1043" s="1699"/>
      <c r="AF1043" s="911"/>
      <c r="AG1043" s="912"/>
      <c r="AH1043" s="912"/>
      <c r="AI1043" s="913"/>
      <c r="AJ1043" s="1672"/>
      <c r="AK1043" s="1673"/>
      <c r="AL1043" s="1673"/>
      <c r="AM1043" s="1673"/>
      <c r="AN1043" s="1673"/>
      <c r="AO1043" s="1673"/>
      <c r="AP1043" s="1673"/>
      <c r="AQ1043" s="1674"/>
      <c r="AR1043" s="68"/>
      <c r="AS1043" s="68"/>
      <c r="AT1043" s="68"/>
      <c r="AU1043" s="68"/>
      <c r="AV1043" s="68"/>
      <c r="AW1043" s="68"/>
      <c r="AX1043" s="68"/>
      <c r="AY1043" s="68"/>
    </row>
    <row r="1044" spans="1:57" ht="12.95" customHeight="1">
      <c r="A1044" s="14"/>
      <c r="B1044" s="73"/>
      <c r="C1044" s="74"/>
      <c r="D1044" s="1700"/>
      <c r="E1044" s="1701"/>
      <c r="F1044" s="1701"/>
      <c r="G1044" s="1701"/>
      <c r="H1044" s="1701"/>
      <c r="I1044" s="1701"/>
      <c r="J1044" s="1701"/>
      <c r="K1044" s="1701"/>
      <c r="L1044" s="1701"/>
      <c r="M1044" s="1701"/>
      <c r="N1044" s="1701"/>
      <c r="O1044" s="1701"/>
      <c r="P1044" s="1701"/>
      <c r="Q1044" s="1701"/>
      <c r="R1044" s="1701"/>
      <c r="S1044" s="1701"/>
      <c r="T1044" s="1701"/>
      <c r="U1044" s="1701"/>
      <c r="V1044" s="1701"/>
      <c r="W1044" s="1701"/>
      <c r="X1044" s="1701"/>
      <c r="Y1044" s="1701"/>
      <c r="Z1044" s="1701"/>
      <c r="AA1044" s="1701"/>
      <c r="AB1044" s="1701"/>
      <c r="AC1044" s="1701"/>
      <c r="AD1044" s="1701"/>
      <c r="AE1044" s="1702"/>
      <c r="AF1044" s="914"/>
      <c r="AG1044" s="915"/>
      <c r="AH1044" s="915"/>
      <c r="AI1044" s="916"/>
      <c r="AJ1044" s="1681"/>
      <c r="AK1044" s="1682"/>
      <c r="AL1044" s="1682"/>
      <c r="AM1044" s="1682"/>
      <c r="AN1044" s="1682"/>
      <c r="AO1044" s="1682"/>
      <c r="AP1044" s="1682"/>
      <c r="AQ1044" s="1683"/>
      <c r="AR1044" s="68"/>
      <c r="AS1044" s="68"/>
      <c r="AT1044" s="68"/>
      <c r="AU1044" s="68"/>
      <c r="AV1044" s="68"/>
      <c r="AW1044" s="68"/>
      <c r="AX1044" s="68"/>
      <c r="AY1044" s="68"/>
    </row>
    <row r="1045" spans="1:57" ht="12.95" customHeight="1">
      <c r="A1045" s="14"/>
      <c r="B1045" s="73"/>
      <c r="C1045" s="339" t="s">
        <v>687</v>
      </c>
      <c r="D1045" s="1690" t="s">
        <v>1677</v>
      </c>
      <c r="E1045" s="1691"/>
      <c r="F1045" s="1691"/>
      <c r="G1045" s="1691"/>
      <c r="H1045" s="1691"/>
      <c r="I1045" s="1691"/>
      <c r="J1045" s="1691"/>
      <c r="K1045" s="1691"/>
      <c r="L1045" s="1691"/>
      <c r="M1045" s="1691"/>
      <c r="N1045" s="1691"/>
      <c r="O1045" s="1691"/>
      <c r="P1045" s="1691"/>
      <c r="Q1045" s="1691"/>
      <c r="R1045" s="1691"/>
      <c r="S1045" s="1691"/>
      <c r="T1045" s="1691"/>
      <c r="U1045" s="1691"/>
      <c r="V1045" s="1691"/>
      <c r="W1045" s="1691"/>
      <c r="X1045" s="1691"/>
      <c r="Y1045" s="1691"/>
      <c r="Z1045" s="1691"/>
      <c r="AA1045" s="1691"/>
      <c r="AB1045" s="1691"/>
      <c r="AC1045" s="1691"/>
      <c r="AD1045" s="1691"/>
      <c r="AE1045" s="1692"/>
      <c r="AF1045" s="73"/>
      <c r="AG1045" s="1705" t="s">
        <v>669</v>
      </c>
      <c r="AH1045" s="1706"/>
      <c r="AI1045" s="83"/>
      <c r="AJ1045" s="1669">
        <f>ROUND(IF(AND(AG1045="yes",AJ1041=0),(AJ1001*0.1),0),0)</f>
        <v>0</v>
      </c>
      <c r="AK1045" s="1670"/>
      <c r="AL1045" s="1670"/>
      <c r="AM1045" s="1670"/>
      <c r="AN1045" s="1670"/>
      <c r="AO1045" s="1670"/>
      <c r="AP1045" s="1670"/>
      <c r="AQ1045" s="1671"/>
      <c r="AR1045" s="68"/>
      <c r="AS1045" s="68"/>
      <c r="AT1045" s="68"/>
      <c r="AU1045" s="68"/>
      <c r="AV1045" s="68"/>
      <c r="AW1045" s="68"/>
      <c r="AX1045" s="68"/>
      <c r="AY1045" s="68"/>
    </row>
    <row r="1046" spans="1:57" ht="12.95" customHeight="1">
      <c r="A1046" s="14"/>
      <c r="B1046" s="73"/>
      <c r="C1046" s="74"/>
      <c r="D1046" s="1698" t="s">
        <v>1678</v>
      </c>
      <c r="E1046" s="1502"/>
      <c r="F1046" s="1502"/>
      <c r="G1046" s="1502"/>
      <c r="H1046" s="1502"/>
      <c r="I1046" s="1502"/>
      <c r="J1046" s="1502"/>
      <c r="K1046" s="1502"/>
      <c r="L1046" s="1502"/>
      <c r="M1046" s="1502"/>
      <c r="N1046" s="1502"/>
      <c r="O1046" s="1502"/>
      <c r="P1046" s="1502"/>
      <c r="Q1046" s="1502"/>
      <c r="R1046" s="1502"/>
      <c r="S1046" s="1502"/>
      <c r="T1046" s="1502"/>
      <c r="U1046" s="1502"/>
      <c r="V1046" s="1502"/>
      <c r="W1046" s="1502"/>
      <c r="X1046" s="1502"/>
      <c r="Y1046" s="1502"/>
      <c r="Z1046" s="1502"/>
      <c r="AA1046" s="1502"/>
      <c r="AB1046" s="1502"/>
      <c r="AC1046" s="1502"/>
      <c r="AD1046" s="1502"/>
      <c r="AE1046" s="1699"/>
      <c r="AF1046" s="73"/>
      <c r="AG1046" s="14"/>
      <c r="AH1046" s="14"/>
      <c r="AI1046" s="83"/>
      <c r="AJ1046" s="1672"/>
      <c r="AK1046" s="1673"/>
      <c r="AL1046" s="1673"/>
      <c r="AM1046" s="1673"/>
      <c r="AN1046" s="1673"/>
      <c r="AO1046" s="1673"/>
      <c r="AP1046" s="1673"/>
      <c r="AQ1046" s="1674"/>
      <c r="AR1046" s="68"/>
      <c r="AS1046" s="68"/>
      <c r="AT1046" s="68"/>
      <c r="AU1046" s="68"/>
      <c r="AV1046" s="68"/>
      <c r="AW1046" s="68"/>
      <c r="AX1046" s="68"/>
      <c r="AY1046" s="68"/>
    </row>
    <row r="1047" spans="1:57" ht="12.95" customHeight="1">
      <c r="A1047" s="14"/>
      <c r="B1047" s="73"/>
      <c r="C1047" s="74"/>
      <c r="D1047" s="1698"/>
      <c r="E1047" s="1502"/>
      <c r="F1047" s="1502"/>
      <c r="G1047" s="1502"/>
      <c r="H1047" s="1502"/>
      <c r="I1047" s="1502"/>
      <c r="J1047" s="1502"/>
      <c r="K1047" s="1502"/>
      <c r="L1047" s="1502"/>
      <c r="M1047" s="1502"/>
      <c r="N1047" s="1502"/>
      <c r="O1047" s="1502"/>
      <c r="P1047" s="1502"/>
      <c r="Q1047" s="1502"/>
      <c r="R1047" s="1502"/>
      <c r="S1047" s="1502"/>
      <c r="T1047" s="1502"/>
      <c r="U1047" s="1502"/>
      <c r="V1047" s="1502"/>
      <c r="W1047" s="1502"/>
      <c r="X1047" s="1502"/>
      <c r="Y1047" s="1502"/>
      <c r="Z1047" s="1502"/>
      <c r="AA1047" s="1502"/>
      <c r="AB1047" s="1502"/>
      <c r="AC1047" s="1502"/>
      <c r="AD1047" s="1502"/>
      <c r="AE1047" s="1699"/>
      <c r="AF1047" s="73"/>
      <c r="AG1047" s="14"/>
      <c r="AH1047" s="14"/>
      <c r="AI1047" s="83"/>
      <c r="AJ1047" s="1672"/>
      <c r="AK1047" s="1673"/>
      <c r="AL1047" s="1673"/>
      <c r="AM1047" s="1673"/>
      <c r="AN1047" s="1673"/>
      <c r="AO1047" s="1673"/>
      <c r="AP1047" s="1673"/>
      <c r="AQ1047" s="1674"/>
      <c r="AR1047" s="68"/>
      <c r="AS1047" s="68"/>
      <c r="AT1047" s="68"/>
      <c r="AU1047" s="68"/>
      <c r="AV1047" s="68"/>
      <c r="AW1047" s="68"/>
      <c r="AX1047" s="68"/>
      <c r="AY1047" s="68"/>
      <c r="BA1047" s="1176">
        <f>IFERROR(('Sources and Uses Budget'!$C$17+'Sources and Uses Budget'!$C$18+'Sources and Uses Budget'!$C$22)/$AG$446,0)</f>
        <v>0</v>
      </c>
      <c r="BB1047" s="1176" t="s">
        <v>2418</v>
      </c>
      <c r="BC1047" s="1176"/>
      <c r="BD1047" s="1176"/>
      <c r="BE1047" s="1176"/>
    </row>
    <row r="1048" spans="1:57" ht="12.95" customHeight="1">
      <c r="A1048" s="14"/>
      <c r="B1048" s="73"/>
      <c r="C1048" s="74"/>
      <c r="D1048" s="1698"/>
      <c r="E1048" s="1502"/>
      <c r="F1048" s="1502"/>
      <c r="G1048" s="1502"/>
      <c r="H1048" s="1502"/>
      <c r="I1048" s="1502"/>
      <c r="J1048" s="1502"/>
      <c r="K1048" s="1502"/>
      <c r="L1048" s="1502"/>
      <c r="M1048" s="1502"/>
      <c r="N1048" s="1502"/>
      <c r="O1048" s="1502"/>
      <c r="P1048" s="1502"/>
      <c r="Q1048" s="1502"/>
      <c r="R1048" s="1502"/>
      <c r="S1048" s="1502"/>
      <c r="T1048" s="1502"/>
      <c r="U1048" s="1502"/>
      <c r="V1048" s="1502"/>
      <c r="W1048" s="1502"/>
      <c r="X1048" s="1502"/>
      <c r="Y1048" s="1502"/>
      <c r="Z1048" s="1502"/>
      <c r="AA1048" s="1502"/>
      <c r="AB1048" s="1502"/>
      <c r="AC1048" s="1502"/>
      <c r="AD1048" s="1502"/>
      <c r="AE1048" s="1699"/>
      <c r="AF1048" s="73"/>
      <c r="AG1048" s="14"/>
      <c r="AH1048" s="14"/>
      <c r="AI1048" s="83"/>
      <c r="AJ1048" s="1672"/>
      <c r="AK1048" s="1673"/>
      <c r="AL1048" s="1673"/>
      <c r="AM1048" s="1673"/>
      <c r="AN1048" s="1673"/>
      <c r="AO1048" s="1673"/>
      <c r="AP1048" s="1673"/>
      <c r="AQ1048" s="1674"/>
      <c r="AR1048" s="68"/>
      <c r="AS1048" s="68"/>
      <c r="AT1048" s="68"/>
      <c r="AU1048" s="68"/>
      <c r="AV1048" s="68"/>
      <c r="AW1048" s="68"/>
      <c r="AX1048" s="68"/>
      <c r="AY1048" s="68"/>
      <c r="BA1048">
        <f>IFERROR((($CI$761+$CM$761)/$AG$449),0)</f>
        <v>0.35416666666666669</v>
      </c>
      <c r="BB1048" s="3" t="s">
        <v>2422</v>
      </c>
    </row>
    <row r="1049" spans="1:57" ht="12.95" customHeight="1">
      <c r="A1049" s="14"/>
      <c r="B1049" s="73"/>
      <c r="C1049" s="74"/>
      <c r="D1049" s="1700"/>
      <c r="E1049" s="1701"/>
      <c r="F1049" s="1701"/>
      <c r="G1049" s="1701"/>
      <c r="H1049" s="1701"/>
      <c r="I1049" s="1701"/>
      <c r="J1049" s="1701"/>
      <c r="K1049" s="1701"/>
      <c r="L1049" s="1701"/>
      <c r="M1049" s="1701"/>
      <c r="N1049" s="1701"/>
      <c r="O1049" s="1701"/>
      <c r="P1049" s="1701"/>
      <c r="Q1049" s="1701"/>
      <c r="R1049" s="1701"/>
      <c r="S1049" s="1701"/>
      <c r="T1049" s="1701"/>
      <c r="U1049" s="1701"/>
      <c r="V1049" s="1701"/>
      <c r="W1049" s="1701"/>
      <c r="X1049" s="1701"/>
      <c r="Y1049" s="1701"/>
      <c r="Z1049" s="1701"/>
      <c r="AA1049" s="1701"/>
      <c r="AB1049" s="1701"/>
      <c r="AC1049" s="1701"/>
      <c r="AD1049" s="1701"/>
      <c r="AE1049" s="1702"/>
      <c r="AF1049" s="73"/>
      <c r="AG1049" s="14"/>
      <c r="AH1049" s="14"/>
      <c r="AI1049" s="83"/>
      <c r="AJ1049" s="1672"/>
      <c r="AK1049" s="1673"/>
      <c r="AL1049" s="1673"/>
      <c r="AM1049" s="1673"/>
      <c r="AN1049" s="1673"/>
      <c r="AO1049" s="1673"/>
      <c r="AP1049" s="1673"/>
      <c r="AQ1049" s="1674"/>
      <c r="AR1049" s="68"/>
      <c r="AS1049" s="68"/>
      <c r="AT1049" s="68"/>
      <c r="AU1049" s="68"/>
      <c r="AV1049" s="68"/>
      <c r="AW1049" s="68"/>
      <c r="AX1049" s="68"/>
      <c r="AY1049" s="68"/>
      <c r="BA1049" t="b">
        <f>'Points System'!AJ163="Yes"</f>
        <v>0</v>
      </c>
      <c r="BB1049" s="3" t="s">
        <v>2419</v>
      </c>
    </row>
    <row r="1050" spans="1:57" ht="12.95" customHeight="1">
      <c r="A1050" s="14"/>
      <c r="B1050" s="79"/>
      <c r="C1050" s="131" t="s">
        <v>1010</v>
      </c>
      <c r="D1050" s="1651" t="s">
        <v>1296</v>
      </c>
      <c r="E1050" s="1652"/>
      <c r="F1050" s="1652"/>
      <c r="G1050" s="1652"/>
      <c r="H1050" s="1652"/>
      <c r="I1050" s="1652"/>
      <c r="J1050" s="1652"/>
      <c r="K1050" s="1652"/>
      <c r="L1050" s="1652"/>
      <c r="M1050" s="1652"/>
      <c r="N1050" s="1652"/>
      <c r="O1050" s="1652"/>
      <c r="P1050" s="1652"/>
      <c r="Q1050" s="1652"/>
      <c r="R1050" s="1652"/>
      <c r="S1050" s="1652"/>
      <c r="T1050" s="1652"/>
      <c r="U1050" s="1652"/>
      <c r="V1050" s="1652"/>
      <c r="W1050" s="1652"/>
      <c r="X1050" s="1652"/>
      <c r="Y1050" s="1652"/>
      <c r="Z1050" s="1652"/>
      <c r="AA1050" s="1652"/>
      <c r="AB1050" s="1652"/>
      <c r="AC1050" s="1652"/>
      <c r="AD1050" s="1652"/>
      <c r="AE1050" s="1653"/>
      <c r="AF1050" s="79"/>
      <c r="AG1050" s="1696" t="s">
        <v>669</v>
      </c>
      <c r="AH1050" s="1697"/>
      <c r="AI1050" s="87"/>
      <c r="AJ1050" s="1669">
        <f>ROUND(IF(AG1050="yes",(AJ1001*0.1),0),0)</f>
        <v>0</v>
      </c>
      <c r="AK1050" s="1670"/>
      <c r="AL1050" s="1670"/>
      <c r="AM1050" s="1670"/>
      <c r="AN1050" s="1670"/>
      <c r="AO1050" s="1670"/>
      <c r="AP1050" s="1670"/>
      <c r="AQ1050" s="1671"/>
      <c r="AR1050" s="68"/>
      <c r="AS1050" s="68"/>
      <c r="AT1050" s="68"/>
      <c r="AU1050" s="68"/>
      <c r="AV1050" s="68"/>
      <c r="AW1050" s="68"/>
      <c r="AX1050" s="68"/>
      <c r="AY1050" s="68"/>
      <c r="BA1050">
        <f>Q212</f>
        <v>0</v>
      </c>
      <c r="BB1050" s="3" t="s">
        <v>2420</v>
      </c>
    </row>
    <row r="1051" spans="1:57" ht="12.95" customHeight="1">
      <c r="A1051" s="14"/>
      <c r="B1051" s="73"/>
      <c r="C1051" s="74"/>
      <c r="D1051" s="1675" t="s">
        <v>2098</v>
      </c>
      <c r="E1051" s="1676"/>
      <c r="F1051" s="1676"/>
      <c r="G1051" s="1676"/>
      <c r="H1051" s="1676"/>
      <c r="I1051" s="1676"/>
      <c r="J1051" s="1676"/>
      <c r="K1051" s="1676"/>
      <c r="L1051" s="1676"/>
      <c r="M1051" s="1676"/>
      <c r="N1051" s="1676"/>
      <c r="O1051" s="1676"/>
      <c r="P1051" s="1676"/>
      <c r="Q1051" s="1676"/>
      <c r="R1051" s="1676"/>
      <c r="S1051" s="1676"/>
      <c r="T1051" s="1676"/>
      <c r="U1051" s="1676"/>
      <c r="V1051" s="1676"/>
      <c r="W1051" s="1676"/>
      <c r="X1051" s="1676"/>
      <c r="Y1051" s="1676"/>
      <c r="Z1051" s="1676"/>
      <c r="AA1051" s="1676"/>
      <c r="AB1051" s="1676"/>
      <c r="AC1051" s="1676"/>
      <c r="AD1051" s="1676"/>
      <c r="AE1051" s="1677"/>
      <c r="AF1051" s="73"/>
      <c r="AG1051" s="14"/>
      <c r="AH1051" s="14"/>
      <c r="AI1051" s="83"/>
      <c r="AJ1051" s="1672"/>
      <c r="AK1051" s="1673"/>
      <c r="AL1051" s="1673"/>
      <c r="AM1051" s="1673"/>
      <c r="AN1051" s="1673"/>
      <c r="AO1051" s="1673"/>
      <c r="AP1051" s="1673"/>
      <c r="AQ1051" s="1674"/>
      <c r="AR1051" s="68"/>
      <c r="AS1051" s="68"/>
      <c r="AT1051" s="68"/>
      <c r="AU1051" s="68"/>
      <c r="AV1051" s="68"/>
      <c r="AW1051" s="68"/>
      <c r="AX1051" s="68"/>
      <c r="AY1051" s="68"/>
      <c r="BA1051" s="1177">
        <f>T212</f>
        <v>0</v>
      </c>
      <c r="BB1051" s="3" t="s">
        <v>2421</v>
      </c>
    </row>
    <row r="1052" spans="1:57" ht="12.95" customHeight="1">
      <c r="A1052" s="14"/>
      <c r="B1052" s="73"/>
      <c r="C1052" s="74"/>
      <c r="D1052" s="1675"/>
      <c r="E1052" s="1676"/>
      <c r="F1052" s="1676"/>
      <c r="G1052" s="1676"/>
      <c r="H1052" s="1676"/>
      <c r="I1052" s="1676"/>
      <c r="J1052" s="1676"/>
      <c r="K1052" s="1676"/>
      <c r="L1052" s="1676"/>
      <c r="M1052" s="1676"/>
      <c r="N1052" s="1676"/>
      <c r="O1052" s="1676"/>
      <c r="P1052" s="1676"/>
      <c r="Q1052" s="1676"/>
      <c r="R1052" s="1676"/>
      <c r="S1052" s="1676"/>
      <c r="T1052" s="1676"/>
      <c r="U1052" s="1676"/>
      <c r="V1052" s="1676"/>
      <c r="W1052" s="1676"/>
      <c r="X1052" s="1676"/>
      <c r="Y1052" s="1676"/>
      <c r="Z1052" s="1676"/>
      <c r="AA1052" s="1676"/>
      <c r="AB1052" s="1676"/>
      <c r="AC1052" s="1676"/>
      <c r="AD1052" s="1676"/>
      <c r="AE1052" s="1677"/>
      <c r="AF1052" s="73"/>
      <c r="AG1052" s="14"/>
      <c r="AH1052" s="14"/>
      <c r="AI1052" s="83"/>
      <c r="AJ1052" s="1672"/>
      <c r="AK1052" s="1673"/>
      <c r="AL1052" s="1673"/>
      <c r="AM1052" s="1673"/>
      <c r="AN1052" s="1673"/>
      <c r="AO1052" s="1673"/>
      <c r="AP1052" s="1673"/>
      <c r="AQ1052" s="1674"/>
      <c r="AR1052" s="68"/>
      <c r="AS1052" s="68"/>
      <c r="AT1052" s="68"/>
      <c r="AU1052" s="68"/>
      <c r="AV1052" s="68"/>
      <c r="AW1052" s="68"/>
      <c r="AX1052" s="68"/>
      <c r="AY1052" s="68"/>
    </row>
    <row r="1053" spans="1:57" ht="12.95" customHeight="1">
      <c r="A1053" s="14"/>
      <c r="B1053" s="73"/>
      <c r="C1053" s="74"/>
      <c r="D1053" s="1678"/>
      <c r="E1053" s="1679"/>
      <c r="F1053" s="1679"/>
      <c r="G1053" s="1679"/>
      <c r="H1053" s="1679"/>
      <c r="I1053" s="1679"/>
      <c r="J1053" s="1679"/>
      <c r="K1053" s="1679"/>
      <c r="L1053" s="1679"/>
      <c r="M1053" s="1679"/>
      <c r="N1053" s="1679"/>
      <c r="O1053" s="1679"/>
      <c r="P1053" s="1679"/>
      <c r="Q1053" s="1679"/>
      <c r="R1053" s="1679"/>
      <c r="S1053" s="1679"/>
      <c r="T1053" s="1679"/>
      <c r="U1053" s="1679"/>
      <c r="V1053" s="1679"/>
      <c r="W1053" s="1679"/>
      <c r="X1053" s="1679"/>
      <c r="Y1053" s="1679"/>
      <c r="Z1053" s="1679"/>
      <c r="AA1053" s="1679"/>
      <c r="AB1053" s="1679"/>
      <c r="AC1053" s="1679"/>
      <c r="AD1053" s="1679"/>
      <c r="AE1053" s="1680"/>
      <c r="AF1053" s="73"/>
      <c r="AG1053" s="14"/>
      <c r="AH1053" s="14"/>
      <c r="AI1053" s="83"/>
      <c r="AJ1053" s="1681"/>
      <c r="AK1053" s="1682"/>
      <c r="AL1053" s="1682"/>
      <c r="AM1053" s="1682"/>
      <c r="AN1053" s="1682"/>
      <c r="AO1053" s="1682"/>
      <c r="AP1053" s="1682"/>
      <c r="AQ1053" s="1683"/>
      <c r="AR1053" s="68"/>
      <c r="AS1053" s="68"/>
      <c r="AT1053" s="68"/>
      <c r="AU1053" s="68"/>
      <c r="AV1053" s="68"/>
      <c r="AW1053" s="68"/>
      <c r="AX1053" s="68"/>
      <c r="AY1053" s="68"/>
    </row>
    <row r="1054" spans="1:57" ht="12.95" customHeight="1">
      <c r="A1054" s="14"/>
      <c r="B1054" s="79"/>
      <c r="C1054" s="131" t="s">
        <v>1673</v>
      </c>
      <c r="D1054" s="1690" t="s">
        <v>1838</v>
      </c>
      <c r="E1054" s="1691"/>
      <c r="F1054" s="1691"/>
      <c r="G1054" s="1691"/>
      <c r="H1054" s="1691"/>
      <c r="I1054" s="1691"/>
      <c r="J1054" s="1691"/>
      <c r="K1054" s="1691"/>
      <c r="L1054" s="1691"/>
      <c r="M1054" s="1691"/>
      <c r="N1054" s="1691"/>
      <c r="O1054" s="1691"/>
      <c r="P1054" s="1691"/>
      <c r="Q1054" s="1691"/>
      <c r="R1054" s="1691"/>
      <c r="S1054" s="1691"/>
      <c r="T1054" s="1691"/>
      <c r="U1054" s="1691"/>
      <c r="V1054" s="1691"/>
      <c r="W1054" s="1691"/>
      <c r="X1054" s="1691"/>
      <c r="Y1054" s="1691"/>
      <c r="Z1054" s="1691"/>
      <c r="AA1054" s="1691"/>
      <c r="AB1054" s="1691"/>
      <c r="AC1054" s="1691"/>
      <c r="AD1054" s="1691"/>
      <c r="AE1054" s="1692"/>
      <c r="AF1054" s="79"/>
      <c r="AG1054" s="1703" t="str">
        <f>IF(X1057&gt;0,"Yes","No")</f>
        <v>Yes</v>
      </c>
      <c r="AH1054" s="1704"/>
      <c r="AI1054" s="87"/>
      <c r="AJ1054" s="1669">
        <f>IF((X1057=0),0,AY1014*AJ1001)</f>
        <v>5698982.8000000007</v>
      </c>
      <c r="AK1054" s="1670"/>
      <c r="AL1054" s="1670"/>
      <c r="AM1054" s="1670"/>
      <c r="AN1054" s="1670"/>
      <c r="AO1054" s="1670"/>
      <c r="AP1054" s="1670"/>
      <c r="AQ1054" s="1671"/>
      <c r="AR1054" s="68"/>
      <c r="AS1054" s="68"/>
      <c r="AT1054" s="68"/>
      <c r="AU1054" s="68"/>
      <c r="AV1054" s="68"/>
      <c r="AW1054" s="68"/>
      <c r="AX1054" s="68"/>
      <c r="AY1054" s="68"/>
      <c r="AZ1054" s="1174">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54" s="3" t="s">
        <v>2407</v>
      </c>
      <c r="BB1054" s="3"/>
      <c r="BC1054" s="3"/>
      <c r="BD1054" s="3"/>
    </row>
    <row r="1055" spans="1:57" ht="12.95" customHeight="1">
      <c r="A1055" s="14"/>
      <c r="B1055" s="73"/>
      <c r="C1055" s="442"/>
      <c r="D1055" s="1675" t="s">
        <v>1298</v>
      </c>
      <c r="E1055" s="1676"/>
      <c r="F1055" s="1676"/>
      <c r="G1055" s="1676"/>
      <c r="H1055" s="1676"/>
      <c r="I1055" s="1676"/>
      <c r="J1055" s="1676"/>
      <c r="K1055" s="1676"/>
      <c r="L1055" s="1676"/>
      <c r="M1055" s="1676"/>
      <c r="N1055" s="1676"/>
      <c r="O1055" s="1676"/>
      <c r="P1055" s="1676"/>
      <c r="Q1055" s="1676"/>
      <c r="R1055" s="1676"/>
      <c r="S1055" s="1676"/>
      <c r="T1055" s="1676"/>
      <c r="U1055" s="1676"/>
      <c r="V1055" s="1676"/>
      <c r="W1055" s="1676"/>
      <c r="X1055" s="1676"/>
      <c r="Y1055" s="1676"/>
      <c r="Z1055" s="1676"/>
      <c r="AA1055" s="1676"/>
      <c r="AB1055" s="1676"/>
      <c r="AC1055" s="1676"/>
      <c r="AD1055" s="1676"/>
      <c r="AE1055" s="1677"/>
      <c r="AF1055" s="73"/>
      <c r="AG1055" s="443"/>
      <c r="AH1055" s="443"/>
      <c r="AI1055" s="83"/>
      <c r="AJ1055" s="1672"/>
      <c r="AK1055" s="1673"/>
      <c r="AL1055" s="1673"/>
      <c r="AM1055" s="1673"/>
      <c r="AN1055" s="1673"/>
      <c r="AO1055" s="1673"/>
      <c r="AP1055" s="1673"/>
      <c r="AQ1055" s="1674"/>
      <c r="AR1055" s="68"/>
      <c r="AS1055" s="68"/>
      <c r="AT1055" s="68"/>
      <c r="AU1055" s="13"/>
      <c r="AV1055" s="68"/>
      <c r="AW1055" s="68"/>
      <c r="AX1055" s="68"/>
      <c r="AY1055" s="68"/>
      <c r="AZ1055" s="958">
        <f>'Sources and Uses Budget'!S97*BA1055</f>
        <v>4078249.05</v>
      </c>
      <c r="BA1055" s="1175">
        <f>IF(BA1049,20%,15%)</f>
        <v>0.15</v>
      </c>
      <c r="BB1055" s="3" t="s">
        <v>2408</v>
      </c>
      <c r="BC1055" s="3" t="s">
        <v>2409</v>
      </c>
      <c r="BD1055" s="3"/>
    </row>
    <row r="1056" spans="1:57" ht="12.95" customHeight="1">
      <c r="A1056" s="14"/>
      <c r="B1056" s="73"/>
      <c r="C1056" s="442"/>
      <c r="D1056" s="1675"/>
      <c r="E1056" s="1676"/>
      <c r="F1056" s="1676"/>
      <c r="G1056" s="1676"/>
      <c r="H1056" s="1676"/>
      <c r="I1056" s="1676"/>
      <c r="J1056" s="1676"/>
      <c r="K1056" s="1676"/>
      <c r="L1056" s="1676"/>
      <c r="M1056" s="1676"/>
      <c r="N1056" s="1676"/>
      <c r="O1056" s="1676"/>
      <c r="P1056" s="1676"/>
      <c r="Q1056" s="1676"/>
      <c r="R1056" s="1676"/>
      <c r="S1056" s="1676"/>
      <c r="T1056" s="1676"/>
      <c r="U1056" s="1676"/>
      <c r="V1056" s="1676"/>
      <c r="W1056" s="1676"/>
      <c r="X1056" s="1676"/>
      <c r="Y1056" s="1676"/>
      <c r="Z1056" s="1676"/>
      <c r="AA1056" s="1676"/>
      <c r="AB1056" s="1676"/>
      <c r="AC1056" s="1676"/>
      <c r="AD1056" s="1676"/>
      <c r="AE1056" s="1677"/>
      <c r="AF1056" s="73"/>
      <c r="AG1056" s="443"/>
      <c r="AH1056" s="443"/>
      <c r="AI1056" s="83"/>
      <c r="AJ1056" s="1672"/>
      <c r="AK1056" s="1673"/>
      <c r="AL1056" s="1673"/>
      <c r="AM1056" s="1673"/>
      <c r="AN1056" s="1673"/>
      <c r="AO1056" s="1673"/>
      <c r="AP1056" s="1673"/>
      <c r="AQ1056" s="1674"/>
      <c r="AR1056" s="68"/>
      <c r="AS1056" s="68"/>
      <c r="AT1056" s="68"/>
      <c r="AU1056" s="13"/>
      <c r="AV1056" s="68"/>
      <c r="AW1056" s="68"/>
      <c r="AX1056" s="68"/>
      <c r="AY1056" s="68"/>
      <c r="AZ1056" s="958">
        <f>IF(M365="N/A",0,'Sources and Uses Budget'!T97*BA1056)</f>
        <v>0</v>
      </c>
      <c r="BA1056" s="1175">
        <v>0.15</v>
      </c>
      <c r="BB1056" s="3" t="s">
        <v>2408</v>
      </c>
      <c r="BC1056" s="3" t="s">
        <v>2410</v>
      </c>
      <c r="BD1056" s="3"/>
    </row>
    <row r="1057" spans="1:56" ht="12.95" customHeight="1">
      <c r="A1057" s="14"/>
      <c r="B1057" s="77"/>
      <c r="C1057" s="78"/>
      <c r="D1057" s="132" t="s">
        <v>972</v>
      </c>
      <c r="E1057" s="133"/>
      <c r="F1057" s="133"/>
      <c r="G1057" s="133"/>
      <c r="H1057" s="133"/>
      <c r="I1057" s="1732">
        <f>AY1012</f>
        <v>48</v>
      </c>
      <c r="J1057" s="1733"/>
      <c r="K1057" s="7"/>
      <c r="L1057" s="133"/>
      <c r="M1057" s="133"/>
      <c r="N1057" s="133"/>
      <c r="O1057" s="133"/>
      <c r="P1057" s="133"/>
      <c r="Q1057" s="133"/>
      <c r="R1057" s="133"/>
      <c r="S1057" s="133"/>
      <c r="T1057" s="133"/>
      <c r="U1057" s="133"/>
      <c r="V1057" s="134" t="s">
        <v>973</v>
      </c>
      <c r="W1057" s="48"/>
      <c r="X1057" s="1730">
        <f>CI761</f>
        <v>10</v>
      </c>
      <c r="Y1057" s="1731"/>
      <c r="Z1057" s="48"/>
      <c r="AA1057" s="48"/>
      <c r="AB1057" s="48"/>
      <c r="AC1057" s="48"/>
      <c r="AD1057" s="48"/>
      <c r="AE1057" s="49"/>
      <c r="AF1057" s="920"/>
      <c r="AG1057" s="921"/>
      <c r="AH1057" s="921"/>
      <c r="AI1057" s="922"/>
      <c r="AJ1057" s="1681"/>
      <c r="AK1057" s="1682"/>
      <c r="AL1057" s="1682"/>
      <c r="AM1057" s="1682"/>
      <c r="AN1057" s="1682"/>
      <c r="AO1057" s="1682"/>
      <c r="AP1057" s="1682"/>
      <c r="AQ1057" s="1683"/>
      <c r="AR1057" s="68"/>
      <c r="AS1057" s="68"/>
      <c r="AT1057" s="68"/>
      <c r="AU1057" s="14"/>
      <c r="AV1057" s="68"/>
      <c r="AW1057" s="68"/>
      <c r="AX1057" s="68"/>
      <c r="AY1057" s="68"/>
      <c r="AZ1057" s="958">
        <f>IF(M367="N/A",0,'Sources and Uses Budget'!T97*BA1057)</f>
        <v>0</v>
      </c>
      <c r="BA1057" s="1175" cm="1">
        <f t="array" ref="BA1057">_xlfn.IFS(X180="Yes",5%,$BA$1047&gt;50000,15%,BA1048&gt;=30%,15%,TRUE,5%)</f>
        <v>0.15</v>
      </c>
      <c r="BB1057" s="3" t="s">
        <v>2408</v>
      </c>
      <c r="BC1057" s="3" t="s">
        <v>2411</v>
      </c>
      <c r="BD1057" s="3"/>
    </row>
    <row r="1058" spans="1:56" ht="12.95" customHeight="1">
      <c r="A1058" s="14"/>
      <c r="B1058" s="79"/>
      <c r="C1058" s="131" t="s">
        <v>1674</v>
      </c>
      <c r="D1058" s="1651" t="s">
        <v>2124</v>
      </c>
      <c r="E1058" s="1652"/>
      <c r="F1058" s="1652"/>
      <c r="G1058" s="1652"/>
      <c r="H1058" s="1652"/>
      <c r="I1058" s="1652"/>
      <c r="J1058" s="1652"/>
      <c r="K1058" s="1652"/>
      <c r="L1058" s="1652"/>
      <c r="M1058" s="1652"/>
      <c r="N1058" s="1652"/>
      <c r="O1058" s="1652"/>
      <c r="P1058" s="1652"/>
      <c r="Q1058" s="1652"/>
      <c r="R1058" s="1652"/>
      <c r="S1058" s="1652"/>
      <c r="T1058" s="1652"/>
      <c r="U1058" s="1652"/>
      <c r="V1058" s="1652"/>
      <c r="W1058" s="1652"/>
      <c r="X1058" s="1652"/>
      <c r="Y1058" s="1652"/>
      <c r="Z1058" s="1652"/>
      <c r="AA1058" s="1652"/>
      <c r="AB1058" s="1652"/>
      <c r="AC1058" s="1652"/>
      <c r="AD1058" s="1652"/>
      <c r="AE1058" s="1653"/>
      <c r="AF1058" s="73"/>
      <c r="AG1058" s="1703" t="str">
        <f>IF(X1061&gt;0,"Yes","No")</f>
        <v>Yes</v>
      </c>
      <c r="AH1058" s="1704"/>
      <c r="AI1058" s="83"/>
      <c r="AJ1058" s="1669">
        <f>IF((X1061=0),0,(2*AY1015)*AJ1001)</f>
        <v>7978575.9200000009</v>
      </c>
      <c r="AK1058" s="1670"/>
      <c r="AL1058" s="1670"/>
      <c r="AM1058" s="1670"/>
      <c r="AN1058" s="1670"/>
      <c r="AO1058" s="1670"/>
      <c r="AP1058" s="1670"/>
      <c r="AQ1058" s="1671"/>
      <c r="AR1058" s="68"/>
      <c r="AS1058" s="68"/>
      <c r="AT1058" s="68"/>
      <c r="AU1058" s="14"/>
      <c r="AV1058" s="68"/>
      <c r="AW1058" s="68"/>
      <c r="AX1058" s="68"/>
      <c r="AY1058" s="68"/>
      <c r="AZ1058" s="958">
        <f>AZ1054*BA1058</f>
        <v>0</v>
      </c>
      <c r="BA1058" s="1175">
        <v>0.15</v>
      </c>
      <c r="BB1058" s="3" t="s">
        <v>2408</v>
      </c>
      <c r="BC1058" s="3" t="s">
        <v>2412</v>
      </c>
      <c r="BD1058" s="3"/>
    </row>
    <row r="1059" spans="1:56" ht="12.95" customHeight="1">
      <c r="A1059" s="14"/>
      <c r="B1059" s="73"/>
      <c r="C1059" s="442"/>
      <c r="D1059" s="1675" t="s">
        <v>1297</v>
      </c>
      <c r="E1059" s="1676"/>
      <c r="F1059" s="1676"/>
      <c r="G1059" s="1676"/>
      <c r="H1059" s="1676"/>
      <c r="I1059" s="1676"/>
      <c r="J1059" s="1676"/>
      <c r="K1059" s="1676"/>
      <c r="L1059" s="1676"/>
      <c r="M1059" s="1676"/>
      <c r="N1059" s="1676"/>
      <c r="O1059" s="1676"/>
      <c r="P1059" s="1676"/>
      <c r="Q1059" s="1676"/>
      <c r="R1059" s="1676"/>
      <c r="S1059" s="1676"/>
      <c r="T1059" s="1676"/>
      <c r="U1059" s="1676"/>
      <c r="V1059" s="1676"/>
      <c r="W1059" s="1676"/>
      <c r="X1059" s="1676"/>
      <c r="Y1059" s="1676"/>
      <c r="Z1059" s="1676"/>
      <c r="AA1059" s="1676"/>
      <c r="AB1059" s="1676"/>
      <c r="AC1059" s="1676"/>
      <c r="AD1059" s="1676"/>
      <c r="AE1059" s="1677"/>
      <c r="AF1059" s="73"/>
      <c r="AG1059" s="443"/>
      <c r="AH1059" s="443"/>
      <c r="AI1059" s="83"/>
      <c r="AJ1059" s="1672"/>
      <c r="AK1059" s="1673"/>
      <c r="AL1059" s="1673"/>
      <c r="AM1059" s="1673"/>
      <c r="AN1059" s="1673"/>
      <c r="AO1059" s="1673"/>
      <c r="AP1059" s="1673"/>
      <c r="AQ1059" s="1674"/>
      <c r="AR1059" s="68"/>
      <c r="AS1059" s="68"/>
      <c r="AT1059" s="68"/>
      <c r="AU1059" s="68"/>
      <c r="AV1059" s="68"/>
      <c r="AW1059" s="68"/>
      <c r="AX1059" s="68"/>
      <c r="AY1059" s="68"/>
      <c r="AZ1059" s="958"/>
      <c r="BA1059" s="3"/>
      <c r="BB1059" s="3"/>
      <c r="BC1059" s="3"/>
      <c r="BD1059" s="3"/>
    </row>
    <row r="1060" spans="1:56" ht="12.95" customHeight="1">
      <c r="A1060" s="14"/>
      <c r="B1060" s="73"/>
      <c r="C1060" s="83"/>
      <c r="D1060" s="1675"/>
      <c r="E1060" s="1676"/>
      <c r="F1060" s="1676"/>
      <c r="G1060" s="1676"/>
      <c r="H1060" s="1676"/>
      <c r="I1060" s="1676"/>
      <c r="J1060" s="1676"/>
      <c r="K1060" s="1676"/>
      <c r="L1060" s="1676"/>
      <c r="M1060" s="1676"/>
      <c r="N1060" s="1676"/>
      <c r="O1060" s="1676"/>
      <c r="P1060" s="1676"/>
      <c r="Q1060" s="1676"/>
      <c r="R1060" s="1676"/>
      <c r="S1060" s="1676"/>
      <c r="T1060" s="1676"/>
      <c r="U1060" s="1676"/>
      <c r="V1060" s="1676"/>
      <c r="W1060" s="1676"/>
      <c r="X1060" s="1676"/>
      <c r="Y1060" s="1676"/>
      <c r="Z1060" s="1676"/>
      <c r="AA1060" s="1676"/>
      <c r="AB1060" s="1676"/>
      <c r="AC1060" s="1676"/>
      <c r="AD1060" s="1676"/>
      <c r="AE1060" s="1677"/>
      <c r="AF1060" s="917"/>
      <c r="AG1060" s="918"/>
      <c r="AH1060" s="918"/>
      <c r="AI1060" s="919"/>
      <c r="AJ1060" s="1672"/>
      <c r="AK1060" s="1673"/>
      <c r="AL1060" s="1673"/>
      <c r="AM1060" s="1673"/>
      <c r="AN1060" s="1673"/>
      <c r="AO1060" s="1673"/>
      <c r="AP1060" s="1673"/>
      <c r="AQ1060" s="1674"/>
      <c r="AR1060" s="68"/>
      <c r="AS1060" s="68"/>
      <c r="AT1060" s="68"/>
      <c r="AU1060" s="68"/>
      <c r="AV1060" s="68"/>
      <c r="AW1060" s="68"/>
      <c r="AX1060" s="68"/>
      <c r="AY1060" s="68"/>
      <c r="AZ1060" s="958">
        <f>ROUNDDOWN(MIN(SUM(AZ1055,AZ1056,AZ1057,AZ1058),BD1060),0)</f>
        <v>2500000</v>
      </c>
      <c r="BA1060" s="3" t="s">
        <v>2413</v>
      </c>
      <c r="BB1060" s="3"/>
      <c r="BC1060" s="3"/>
      <c r="BD1060" s="3" cm="1">
        <f t="array" ref="BD1060">_xlfn.IFS(BA1049,3000000,AND(BA1050&gt;=25%,BA1051&gt;=15),2800000,TRUE,2500000)</f>
        <v>2500000</v>
      </c>
    </row>
    <row r="1061" spans="1:56" ht="12.95" customHeight="1">
      <c r="A1061" s="14"/>
      <c r="B1061" s="77"/>
      <c r="C1061" s="78"/>
      <c r="D1061" s="132" t="s">
        <v>972</v>
      </c>
      <c r="E1061" s="133"/>
      <c r="F1061" s="133"/>
      <c r="G1061" s="133"/>
      <c r="H1061" s="133"/>
      <c r="I1061" s="1732">
        <f>AY1012</f>
        <v>48</v>
      </c>
      <c r="J1061" s="1733"/>
      <c r="K1061" s="14"/>
      <c r="L1061" s="133"/>
      <c r="M1061" s="133"/>
      <c r="N1061" s="133"/>
      <c r="O1061" s="133"/>
      <c r="P1061" s="133"/>
      <c r="Q1061" s="133"/>
      <c r="R1061" s="133"/>
      <c r="S1061" s="133"/>
      <c r="T1061" s="133"/>
      <c r="U1061" s="133"/>
      <c r="V1061" s="134" t="s">
        <v>974</v>
      </c>
      <c r="X1061" s="1730">
        <f>CM761</f>
        <v>7</v>
      </c>
      <c r="Y1061" s="1731"/>
      <c r="AF1061" s="920"/>
      <c r="AG1061" s="921"/>
      <c r="AH1061" s="921"/>
      <c r="AI1061" s="922"/>
      <c r="AJ1061" s="1681"/>
      <c r="AK1061" s="1682"/>
      <c r="AL1061" s="1682"/>
      <c r="AM1061" s="1682"/>
      <c r="AN1061" s="1682"/>
      <c r="AO1061" s="1682"/>
      <c r="AP1061" s="1682"/>
      <c r="AQ1061" s="1683"/>
      <c r="AR1061" s="68"/>
      <c r="AS1061" s="68"/>
      <c r="AT1061" s="68"/>
      <c r="AU1061" s="68"/>
      <c r="AV1061" s="68"/>
      <c r="AW1061" s="68"/>
      <c r="AX1061" s="68"/>
      <c r="AY1061" s="68"/>
      <c r="AZ1061" s="958">
        <f>ROUNDDOWN(MAX(0,BA1061*(SUM(AG1102,AL1102,AZ1054)-BD1061))+BF1061,0)</f>
        <v>0</v>
      </c>
      <c r="BA1061" s="1175">
        <f>IF(L1051,7%,5%)</f>
        <v>0.05</v>
      </c>
      <c r="BB1061" s="3" t="s">
        <v>2414</v>
      </c>
      <c r="BC1061" s="3"/>
      <c r="BD1061" s="3">
        <v>6666667</v>
      </c>
    </row>
    <row r="1062" spans="1:56" ht="12.95" customHeight="1">
      <c r="A1062" s="14"/>
      <c r="B1062" s="102"/>
      <c r="C1062" s="103"/>
      <c r="D1062" s="1728" t="s">
        <v>513</v>
      </c>
      <c r="E1062" s="1728"/>
      <c r="F1062" s="1728"/>
      <c r="G1062" s="1728"/>
      <c r="H1062" s="1728"/>
      <c r="I1062" s="1728"/>
      <c r="J1062" s="1728"/>
      <c r="K1062" s="1728"/>
      <c r="L1062" s="1728"/>
      <c r="M1062" s="1728"/>
      <c r="N1062" s="1728"/>
      <c r="O1062" s="1728"/>
      <c r="P1062" s="1728"/>
      <c r="Q1062" s="1728"/>
      <c r="R1062" s="1728"/>
      <c r="S1062" s="1728"/>
      <c r="T1062" s="1728"/>
      <c r="U1062" s="1728"/>
      <c r="V1062" s="1728"/>
      <c r="W1062" s="1728"/>
      <c r="X1062" s="1728"/>
      <c r="Y1062" s="1728"/>
      <c r="Z1062" s="1728"/>
      <c r="AA1062" s="1728"/>
      <c r="AB1062" s="1728"/>
      <c r="AC1062" s="1728"/>
      <c r="AD1062" s="1728"/>
      <c r="AE1062" s="1728"/>
      <c r="AF1062" s="1728"/>
      <c r="AG1062" s="1728"/>
      <c r="AH1062" s="1728"/>
      <c r="AI1062" s="1729"/>
      <c r="AJ1062" s="1744">
        <f>SUM(AJ1001:AQ1061)</f>
        <v>47871455.519999996</v>
      </c>
      <c r="AK1062" s="1745"/>
      <c r="AL1062" s="1745"/>
      <c r="AM1062" s="1745"/>
      <c r="AN1062" s="1745"/>
      <c r="AO1062" s="1745"/>
      <c r="AP1062" s="1745"/>
      <c r="AQ1062" s="1746"/>
      <c r="AR1062" s="68"/>
      <c r="AS1062" s="68"/>
      <c r="AT1062" s="68"/>
      <c r="AU1062" s="68"/>
      <c r="AV1062" s="68"/>
      <c r="AW1062" s="68"/>
      <c r="AX1062" s="68"/>
      <c r="AY1062" s="68"/>
      <c r="AZ1062" s="1174">
        <v>6000000</v>
      </c>
      <c r="BA1062" s="3" t="s">
        <v>2415</v>
      </c>
      <c r="BB1062" s="3"/>
      <c r="BC1062" s="3"/>
      <c r="BD1062" s="3"/>
    </row>
    <row r="1063" spans="1:56" ht="12.95" customHeight="1">
      <c r="A1063" s="14"/>
      <c r="B1063" s="14"/>
      <c r="C1063" s="208"/>
      <c r="D1063" s="213"/>
      <c r="E1063" s="213"/>
      <c r="F1063" s="213"/>
      <c r="G1063" s="213"/>
      <c r="H1063" s="213"/>
      <c r="I1063" s="213"/>
      <c r="J1063" s="213"/>
      <c r="K1063" s="213"/>
      <c r="L1063" s="213"/>
      <c r="M1063" s="213"/>
      <c r="N1063" s="213"/>
      <c r="O1063" s="213"/>
      <c r="P1063" s="213"/>
      <c r="Q1063" s="213"/>
      <c r="R1063" s="213"/>
      <c r="S1063" s="213"/>
      <c r="T1063" s="209"/>
      <c r="U1063" s="209"/>
      <c r="V1063" s="209"/>
      <c r="W1063" s="209"/>
      <c r="X1063" s="209"/>
      <c r="Y1063" s="209"/>
      <c r="Z1063" s="209"/>
      <c r="AA1063" s="209"/>
      <c r="AB1063" s="209"/>
      <c r="AC1063" s="209"/>
      <c r="AD1063" s="207"/>
      <c r="AE1063" s="207"/>
      <c r="AF1063" s="207"/>
      <c r="AG1063" s="207"/>
      <c r="AH1063" s="207"/>
      <c r="AI1063" s="207"/>
      <c r="AJ1063" s="207"/>
      <c r="AK1063" s="207"/>
      <c r="AL1063" s="68"/>
      <c r="AM1063" s="68"/>
      <c r="AN1063" s="68"/>
      <c r="AO1063" s="68"/>
      <c r="AP1063" s="68"/>
      <c r="AQ1063" s="68"/>
      <c r="AR1063" s="68"/>
      <c r="AS1063" s="68"/>
      <c r="AT1063" s="68"/>
      <c r="AU1063" s="68"/>
      <c r="AV1063" s="68"/>
      <c r="AW1063" s="68"/>
      <c r="AX1063" s="68"/>
      <c r="AY1063" s="68"/>
      <c r="AZ1063" s="3"/>
      <c r="BA1063" s="3"/>
      <c r="BB1063" s="3"/>
      <c r="BC1063" s="3"/>
      <c r="BD1063" s="3"/>
    </row>
    <row r="1064" spans="1:56" ht="12.95" customHeight="1">
      <c r="A1064" s="14"/>
      <c r="B1064" s="68"/>
      <c r="C1064" s="68"/>
      <c r="D1064" s="68"/>
      <c r="E1064" s="68"/>
      <c r="F1064" s="68"/>
      <c r="G1064" s="1166" t="s">
        <v>2400</v>
      </c>
      <c r="H1064" s="1167"/>
      <c r="I1064" s="1167"/>
      <c r="J1064" s="1167"/>
      <c r="K1064" s="1167"/>
      <c r="L1064" s="1167"/>
      <c r="M1064" s="1167"/>
      <c r="N1064" s="1167"/>
      <c r="O1064" s="1167"/>
      <c r="P1064" s="1167"/>
      <c r="Q1064" s="1167"/>
      <c r="R1064" s="1167"/>
      <c r="S1064" s="1167"/>
      <c r="T1064" s="1167"/>
      <c r="U1064" s="1167"/>
      <c r="V1064" s="1167"/>
      <c r="W1064" s="1167"/>
      <c r="X1064" s="1167"/>
      <c r="Y1064" s="1167"/>
      <c r="Z1064" s="1167"/>
      <c r="AA1064" s="1167"/>
      <c r="AB1064" s="1167"/>
      <c r="AC1064" s="1167"/>
      <c r="AD1064" s="1167"/>
      <c r="AE1064" s="1167"/>
      <c r="AF1064" s="1167"/>
      <c r="AG1064" s="1168"/>
      <c r="AH1064" s="1168"/>
      <c r="AI1064" s="1168"/>
      <c r="AJ1064" s="1168"/>
      <c r="AK1064" s="1168"/>
      <c r="AL1064" s="1168"/>
      <c r="AM1064" s="1168"/>
      <c r="AN1064" s="1168"/>
      <c r="AO1064" s="68"/>
      <c r="AP1064" s="68"/>
      <c r="AQ1064" s="68"/>
      <c r="AR1064" s="68"/>
      <c r="AS1064" s="68"/>
      <c r="AT1064" s="68"/>
      <c r="AU1064" s="68"/>
      <c r="AV1064" s="68"/>
      <c r="AW1064" s="68"/>
      <c r="AX1064" s="68"/>
      <c r="AY1064" s="68"/>
      <c r="AZ1064" s="3"/>
      <c r="BA1064" s="958">
        <f>MIN(MIN(MAX(AZ1060,AZ1061),AZ1062),BA1065)</f>
        <v>2500000</v>
      </c>
      <c r="BB1064" s="3" t="s">
        <v>2416</v>
      </c>
      <c r="BC1064" s="3"/>
      <c r="BD1064" s="3"/>
    </row>
    <row r="1065" spans="1:56" ht="12.95" customHeight="1">
      <c r="A1065" s="14"/>
      <c r="B1065" s="68"/>
      <c r="C1065" s="68"/>
      <c r="D1065" s="68"/>
      <c r="E1065" s="68"/>
      <c r="F1065" s="68"/>
      <c r="G1065" s="1169" t="s">
        <v>2401</v>
      </c>
      <c r="H1065" s="1170"/>
      <c r="I1065" s="1170"/>
      <c r="J1065" s="1170"/>
      <c r="K1065" s="1170"/>
      <c r="L1065" s="1170"/>
      <c r="M1065" s="1170"/>
      <c r="N1065" s="1170"/>
      <c r="O1065" s="1170"/>
      <c r="P1065" s="1170"/>
      <c r="Q1065" s="1170"/>
      <c r="R1065" s="1170"/>
      <c r="S1065" s="1170"/>
      <c r="T1065" s="1170"/>
      <c r="U1065" s="1170"/>
      <c r="V1065" s="1170"/>
      <c r="W1065" s="1170"/>
      <c r="X1065" s="1170"/>
      <c r="Y1065" s="1170"/>
      <c r="Z1065" s="1170"/>
      <c r="AA1065" s="1274">
        <f>'Sources and Uses Budget'!S107+'Sources and Uses Budget'!T107</f>
        <v>30927429</v>
      </c>
      <c r="AB1065" s="1274"/>
      <c r="AC1065" s="1274"/>
      <c r="AD1065" s="1274"/>
      <c r="AE1065" s="1274"/>
      <c r="AF1065" s="1274"/>
      <c r="AG1065" s="1168"/>
      <c r="AH1065" s="1168"/>
      <c r="AI1065" s="1168"/>
      <c r="AJ1065" s="1168"/>
      <c r="AK1065" s="1168"/>
      <c r="AL1065" s="1168"/>
      <c r="AM1065" s="1168"/>
      <c r="AN1065" s="1168"/>
      <c r="AO1065" s="68"/>
      <c r="AP1065" s="68"/>
      <c r="AQ1065" s="68"/>
      <c r="AR1065" s="68"/>
      <c r="AS1065" s="68"/>
      <c r="AT1065" s="68"/>
      <c r="AU1065" s="68"/>
      <c r="AV1065" s="13"/>
      <c r="AW1065" s="13"/>
      <c r="AX1065" s="13"/>
      <c r="AY1065" s="13"/>
      <c r="AZ1065" s="3"/>
      <c r="BA1065" s="958">
        <f>SUM(AZ1055:AZ1058)</f>
        <v>4078249.05</v>
      </c>
      <c r="BB1065" s="3" t="s">
        <v>2417</v>
      </c>
      <c r="BC1065" s="3"/>
      <c r="BD1065" s="3"/>
    </row>
    <row r="1066" spans="1:56" ht="12.95" customHeight="1">
      <c r="A1066" s="14"/>
      <c r="B1066" s="68"/>
      <c r="C1066" s="68"/>
      <c r="D1066" s="68"/>
      <c r="E1066" s="68"/>
      <c r="F1066" s="68"/>
      <c r="G1066" s="1169"/>
      <c r="H1066" s="1169" t="s">
        <v>2402</v>
      </c>
      <c r="I1066" s="1170"/>
      <c r="J1066" s="1170"/>
      <c r="K1066" s="1170"/>
      <c r="L1066" s="1170"/>
      <c r="M1066" s="1170"/>
      <c r="N1066" s="1170"/>
      <c r="O1066" s="1170"/>
      <c r="P1066" s="1170"/>
      <c r="Q1066" s="1170"/>
      <c r="R1066" s="1170"/>
      <c r="S1066" s="1170"/>
      <c r="T1066" s="1170"/>
      <c r="U1066" s="1170"/>
      <c r="V1066" s="1170"/>
      <c r="W1066" s="1170"/>
      <c r="X1066" s="1170"/>
      <c r="Y1066" s="1170"/>
      <c r="Z1066" s="1172"/>
      <c r="AA1066" s="1275">
        <f>IFERROR((AA1065-BA1068)/(AJ1062-AJ1054-AJ1058),"")</f>
        <v>0.86823467865177628</v>
      </c>
      <c r="AB1066" s="1276"/>
      <c r="AC1066" s="1276"/>
      <c r="AD1066" s="1276"/>
      <c r="AE1066" s="1276"/>
      <c r="AF1066" s="1277"/>
      <c r="AG1066" s="1171"/>
      <c r="AH1066" s="1168"/>
      <c r="AI1066" s="1168"/>
      <c r="AJ1066" s="1168"/>
      <c r="AK1066" s="1168"/>
      <c r="AL1066" s="1168"/>
      <c r="AM1066" s="1168"/>
      <c r="AN1066" s="1168"/>
      <c r="AO1066" s="68"/>
      <c r="AP1066" s="68"/>
      <c r="AQ1066" s="68"/>
      <c r="AR1066" s="68"/>
      <c r="AS1066" s="68"/>
      <c r="AT1066" s="68"/>
      <c r="AU1066" s="68"/>
      <c r="AV1066" s="13"/>
      <c r="AW1066" s="13"/>
      <c r="AX1066" s="13"/>
      <c r="AY1066" s="13"/>
    </row>
    <row r="1067" spans="1:56" ht="12.95" customHeight="1">
      <c r="A1067" s="14"/>
      <c r="B1067" s="68"/>
      <c r="C1067" s="68"/>
      <c r="D1067" s="68"/>
      <c r="E1067" s="68"/>
      <c r="F1067" s="68"/>
      <c r="G1067" s="1278" t="str">
        <f>IFERROR(IF(AA1066="","",IF(AA1066&gt;=1.3,"Based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67" s="1278"/>
      <c r="I1067" s="1278"/>
      <c r="J1067" s="1278"/>
      <c r="K1067" s="1278"/>
      <c r="L1067" s="1278"/>
      <c r="M1067" s="1278"/>
      <c r="N1067" s="1278"/>
      <c r="O1067" s="1278"/>
      <c r="P1067" s="1278"/>
      <c r="Q1067" s="1278"/>
      <c r="R1067" s="1278"/>
      <c r="S1067" s="1278"/>
      <c r="T1067" s="1278"/>
      <c r="U1067" s="1278"/>
      <c r="V1067" s="1278"/>
      <c r="W1067" s="1278"/>
      <c r="X1067" s="1278"/>
      <c r="Y1067" s="1278"/>
      <c r="Z1067" s="1278"/>
      <c r="AA1067" s="1278"/>
      <c r="AB1067" s="1278"/>
      <c r="AC1067" s="1278"/>
      <c r="AD1067" s="1278"/>
      <c r="AE1067" s="1278"/>
      <c r="AF1067" s="1278"/>
      <c r="AG1067" s="1278"/>
      <c r="AH1067" s="1278"/>
      <c r="AI1067" s="1278"/>
      <c r="AJ1067" s="1278"/>
      <c r="AK1067" s="1278"/>
      <c r="AL1067" s="1278"/>
      <c r="AM1067" s="1278"/>
      <c r="AN1067" s="1278"/>
      <c r="AO1067" s="68"/>
      <c r="AP1067" s="68"/>
      <c r="AQ1067" s="68"/>
      <c r="AR1067" s="68"/>
      <c r="AS1067" s="68"/>
      <c r="AT1067" s="68"/>
      <c r="AU1067" s="68"/>
      <c r="AV1067" s="14"/>
      <c r="AW1067" s="14"/>
      <c r="AX1067" s="14"/>
      <c r="AY1067" s="14"/>
      <c r="BA1067" s="1178">
        <f>'Sources and Uses Budget'!$S$104+'Sources and Uses Budget'!$T$104</f>
        <v>3739102</v>
      </c>
      <c r="BB1067" s="3" t="s">
        <v>2423</v>
      </c>
    </row>
    <row r="1068" spans="1:56" ht="12.95" customHeight="1">
      <c r="A1068" s="14"/>
      <c r="B1068" s="14"/>
      <c r="C1068" s="208"/>
      <c r="D1068" s="854"/>
      <c r="E1068" s="854"/>
      <c r="F1068" s="854"/>
      <c r="G1068" s="1278"/>
      <c r="H1068" s="1278"/>
      <c r="I1068" s="1278"/>
      <c r="J1068" s="1278"/>
      <c r="K1068" s="1278"/>
      <c r="L1068" s="1278"/>
      <c r="M1068" s="1278"/>
      <c r="N1068" s="1278"/>
      <c r="O1068" s="1278"/>
      <c r="P1068" s="1278"/>
      <c r="Q1068" s="1278"/>
      <c r="R1068" s="1278"/>
      <c r="S1068" s="1278"/>
      <c r="T1068" s="1278"/>
      <c r="U1068" s="1278"/>
      <c r="V1068" s="1278"/>
      <c r="W1068" s="1278"/>
      <c r="X1068" s="1278"/>
      <c r="Y1068" s="1278"/>
      <c r="Z1068" s="1278"/>
      <c r="AA1068" s="1278"/>
      <c r="AB1068" s="1278"/>
      <c r="AC1068" s="1278"/>
      <c r="AD1068" s="1278"/>
      <c r="AE1068" s="1278"/>
      <c r="AF1068" s="1278"/>
      <c r="AG1068" s="1278"/>
      <c r="AH1068" s="1278"/>
      <c r="AI1068" s="1278"/>
      <c r="AJ1068" s="1278"/>
      <c r="AK1068" s="1278"/>
      <c r="AL1068" s="1278"/>
      <c r="AM1068" s="1278"/>
      <c r="AN1068" s="1278"/>
      <c r="AO1068" s="68"/>
      <c r="AP1068" s="68"/>
      <c r="AQ1068" s="68"/>
      <c r="AR1068" s="68"/>
      <c r="AS1068" s="68"/>
      <c r="AT1068" s="68"/>
      <c r="AU1068" s="68"/>
      <c r="AV1068" s="14"/>
      <c r="AW1068" s="14"/>
      <c r="AX1068" s="14"/>
      <c r="AY1068" s="14"/>
      <c r="BA1068" s="1179">
        <f>MAX($BA$1067-$BA$1064,0)</f>
        <v>1239102</v>
      </c>
      <c r="BB1068" s="3" t="s">
        <v>2424</v>
      </c>
    </row>
    <row r="1069" spans="1:56" ht="12.95" customHeight="1">
      <c r="A1069" s="88"/>
      <c r="B1069" s="1165"/>
      <c r="C1069" s="1165"/>
      <c r="D1069" s="1165"/>
      <c r="E1069" s="1165"/>
      <c r="F1069" s="1165"/>
      <c r="G1069" s="1278"/>
      <c r="H1069" s="1278"/>
      <c r="I1069" s="1278"/>
      <c r="J1069" s="1278"/>
      <c r="K1069" s="1278"/>
      <c r="L1069" s="1278"/>
      <c r="M1069" s="1278"/>
      <c r="N1069" s="1278"/>
      <c r="O1069" s="1278"/>
      <c r="P1069" s="1278"/>
      <c r="Q1069" s="1278"/>
      <c r="R1069" s="1278"/>
      <c r="S1069" s="1278"/>
      <c r="T1069" s="1278"/>
      <c r="U1069" s="1278"/>
      <c r="V1069" s="1278"/>
      <c r="W1069" s="1278"/>
      <c r="X1069" s="1278"/>
      <c r="Y1069" s="1278"/>
      <c r="Z1069" s="1278"/>
      <c r="AA1069" s="1278"/>
      <c r="AB1069" s="1278"/>
      <c r="AC1069" s="1278"/>
      <c r="AD1069" s="1278"/>
      <c r="AE1069" s="1278"/>
      <c r="AF1069" s="1278"/>
      <c r="AG1069" s="1278"/>
      <c r="AH1069" s="1278"/>
      <c r="AI1069" s="1278"/>
      <c r="AJ1069" s="1278"/>
      <c r="AK1069" s="1278"/>
      <c r="AL1069" s="1278"/>
      <c r="AM1069" s="1278"/>
      <c r="AN1069" s="1278"/>
      <c r="AO1069" s="1165"/>
      <c r="AP1069" s="1165"/>
      <c r="AQ1069" s="68"/>
      <c r="AR1069" s="68"/>
      <c r="AS1069" s="68"/>
      <c r="AT1069" s="68"/>
      <c r="AU1069" s="68"/>
      <c r="AV1069" s="68"/>
      <c r="AW1069" s="68"/>
      <c r="AX1069" s="68"/>
      <c r="AY1069" s="68"/>
    </row>
    <row r="1070" spans="1:56" ht="12.95" customHeight="1">
      <c r="A1070" s="1756" t="s">
        <v>794</v>
      </c>
      <c r="B1070" s="1756"/>
      <c r="C1070" s="1756"/>
      <c r="D1070" s="1756"/>
      <c r="E1070" s="1756"/>
      <c r="F1070" s="1756"/>
      <c r="G1070" s="1756"/>
      <c r="H1070" s="1756"/>
      <c r="I1070" s="1756"/>
      <c r="J1070" s="1756"/>
      <c r="K1070" s="1756"/>
      <c r="L1070" s="1756"/>
      <c r="M1070" s="1756"/>
      <c r="N1070" s="1756"/>
      <c r="O1070" s="1756"/>
      <c r="P1070" s="1756"/>
      <c r="Q1070" s="1756"/>
      <c r="R1070" s="1756"/>
      <c r="S1070" s="1756"/>
      <c r="T1070" s="1756"/>
      <c r="U1070" s="1756"/>
      <c r="V1070" s="1756"/>
      <c r="W1070" s="1756"/>
      <c r="X1070" s="1756"/>
      <c r="Y1070" s="1756"/>
      <c r="Z1070" s="1756"/>
      <c r="AA1070" s="1756"/>
      <c r="AB1070" s="1756"/>
      <c r="AC1070" s="1756"/>
      <c r="AD1070" s="1756"/>
      <c r="AE1070" s="1756"/>
      <c r="AF1070" s="1756"/>
      <c r="AG1070" s="1756"/>
      <c r="AH1070" s="1756"/>
      <c r="AI1070" s="1756"/>
      <c r="AJ1070" s="1756"/>
      <c r="AK1070" s="1756"/>
      <c r="AL1070" s="1756"/>
      <c r="AM1070" s="1756"/>
      <c r="AN1070" s="1756"/>
      <c r="AO1070" s="1756"/>
      <c r="AP1070" s="1756"/>
      <c r="AQ1070" s="1756"/>
      <c r="AR1070" s="13"/>
      <c r="AS1070" s="13"/>
      <c r="AT1070" s="13"/>
      <c r="AV1070" s="68"/>
      <c r="AW1070" s="68"/>
      <c r="AX1070" s="68"/>
      <c r="AY1070" s="68"/>
    </row>
    <row r="1071" spans="1:56" ht="12.95" customHeight="1">
      <c r="A1071" s="14"/>
      <c r="B1071" s="14"/>
      <c r="C1071" s="14"/>
      <c r="D1071" s="14"/>
      <c r="E1071" s="14"/>
      <c r="F1071" s="14"/>
      <c r="G1071" s="14"/>
      <c r="H1071" s="14"/>
      <c r="I1071" s="14"/>
      <c r="J1071" s="14"/>
      <c r="K1071" s="14"/>
      <c r="L1071" s="14"/>
      <c r="M1071" s="14"/>
      <c r="N1071" s="14"/>
      <c r="O1071" s="14"/>
      <c r="P1071" s="14"/>
      <c r="Q1071" s="13"/>
      <c r="R1071" s="13"/>
      <c r="S1071" s="13"/>
      <c r="T1071" s="13"/>
      <c r="U1071" s="13"/>
      <c r="V1071" s="13"/>
      <c r="W1071" s="13"/>
      <c r="X1071" s="13"/>
      <c r="Y1071" s="13"/>
      <c r="Z1071" s="13"/>
      <c r="AA1071" s="13"/>
      <c r="AB1071" s="13"/>
      <c r="AC1071" s="13"/>
      <c r="AD1071" s="13"/>
      <c r="AE1071" s="13"/>
      <c r="AF1071" s="13"/>
      <c r="AG1071" s="13"/>
      <c r="AH1071" s="13"/>
      <c r="AI1071" s="13"/>
      <c r="AJ1071" s="13"/>
      <c r="AK1071" s="13"/>
      <c r="AL1071" s="13"/>
      <c r="AM1071" s="13"/>
      <c r="AN1071" s="13"/>
      <c r="AO1071" s="13"/>
      <c r="AP1071" s="13"/>
      <c r="AQ1071" s="13"/>
      <c r="AR1071" s="13"/>
      <c r="AS1071" s="13"/>
      <c r="AT1071" s="13"/>
      <c r="AV1071" s="68"/>
      <c r="AW1071" s="68"/>
      <c r="AX1071" s="68"/>
      <c r="AY1071" s="68"/>
    </row>
    <row r="1072" spans="1:56" ht="12.95" customHeight="1">
      <c r="A1072" s="57" t="s">
        <v>795</v>
      </c>
      <c r="B1072" s="13"/>
      <c r="C1072" s="13"/>
      <c r="D1072" s="13"/>
      <c r="E1072" s="13"/>
      <c r="F1072" s="13"/>
      <c r="G1072" s="13"/>
      <c r="H1072" s="13"/>
      <c r="I1072" s="13"/>
      <c r="J1072" s="13"/>
      <c r="K1072" s="13"/>
      <c r="L1072" s="13"/>
      <c r="M1072" s="13"/>
      <c r="N1072" s="13"/>
      <c r="O1072" s="13"/>
      <c r="P1072" s="13"/>
      <c r="Q1072" s="13"/>
      <c r="R1072" s="13"/>
      <c r="S1072" s="13"/>
      <c r="T1072" s="13"/>
      <c r="U1072" s="13"/>
      <c r="V1072" s="13"/>
      <c r="W1072" s="13"/>
      <c r="X1072" s="13"/>
      <c r="AJ1072" s="14"/>
      <c r="AK1072" s="14"/>
      <c r="AL1072" s="14"/>
      <c r="AM1072" s="14"/>
      <c r="AN1072" s="14"/>
      <c r="AO1072" s="14"/>
      <c r="AP1072" s="14"/>
      <c r="AQ1072" s="14"/>
      <c r="AR1072" s="14"/>
      <c r="AS1072" s="14"/>
      <c r="AT1072" s="14"/>
      <c r="AV1072" s="68"/>
      <c r="AW1072" s="68"/>
      <c r="AX1072" s="68"/>
      <c r="AY1072" s="68"/>
    </row>
    <row r="1073" spans="1:51" ht="12.95" customHeight="1">
      <c r="A1073" s="198" t="s">
        <v>796</v>
      </c>
      <c r="B1073" s="67"/>
      <c r="C1073" s="67"/>
      <c r="D1073" s="67"/>
      <c r="E1073" s="67"/>
      <c r="F1073" s="67"/>
      <c r="G1073" s="67"/>
      <c r="H1073" s="67"/>
      <c r="I1073" s="67"/>
      <c r="J1073" s="67"/>
      <c r="K1073" s="67"/>
      <c r="L1073" s="67"/>
      <c r="M1073" s="67"/>
      <c r="N1073" s="67"/>
      <c r="O1073" s="67"/>
      <c r="P1073" s="67"/>
      <c r="Q1073" s="13"/>
      <c r="R1073" s="13"/>
      <c r="S1073" s="13"/>
      <c r="T1073" s="13"/>
      <c r="U1073" s="13"/>
      <c r="V1073" s="13"/>
      <c r="W1073" s="13"/>
      <c r="X1073" s="13"/>
      <c r="Y1073" s="4"/>
      <c r="Z1073" s="4"/>
      <c r="AA1073" s="4"/>
      <c r="AB1073" s="4"/>
      <c r="AC1073" s="4"/>
      <c r="AD1073" s="4"/>
      <c r="AE1073" s="4"/>
      <c r="AF1073" s="4"/>
      <c r="AG1073" s="4"/>
      <c r="AH1073" s="4"/>
      <c r="AI1073" s="4"/>
      <c r="AJ1073" s="14"/>
      <c r="AK1073" s="14"/>
      <c r="AL1073" s="14"/>
      <c r="AM1073" s="14"/>
      <c r="AN1073" s="14"/>
      <c r="AO1073" s="14"/>
      <c r="AP1073" s="14"/>
      <c r="AQ1073" s="14"/>
      <c r="AR1073" s="14"/>
      <c r="AS1073" s="14"/>
      <c r="AT1073" s="14"/>
      <c r="AV1073" s="68"/>
      <c r="AW1073" s="68"/>
      <c r="AX1073" s="68"/>
      <c r="AY1073" s="68"/>
    </row>
    <row r="1074" spans="1:51" ht="12.95" customHeight="1">
      <c r="A1074" s="1324" t="s">
        <v>545</v>
      </c>
      <c r="B1074" s="1324"/>
      <c r="C1074" s="1794">
        <v>1</v>
      </c>
      <c r="D1074" s="1794"/>
      <c r="E1074" s="14" t="s">
        <v>2190</v>
      </c>
      <c r="F1074" s="67"/>
      <c r="G1074" s="67"/>
      <c r="H1074" s="67"/>
      <c r="I1074" s="67"/>
      <c r="J1074" s="67"/>
      <c r="K1074" s="67"/>
      <c r="L1074" s="67"/>
      <c r="M1074" s="67"/>
      <c r="N1074" s="67"/>
      <c r="O1074" s="67"/>
      <c r="P1074" s="67"/>
      <c r="Q1074" s="13"/>
      <c r="R1074" s="13"/>
      <c r="S1074" s="13"/>
      <c r="T1074" s="13"/>
      <c r="U1074" s="13"/>
      <c r="V1074" s="13"/>
      <c r="W1074" s="13"/>
      <c r="X1074" s="13"/>
      <c r="Y1074" s="4"/>
      <c r="Z1074" s="4"/>
      <c r="AA1074" s="4"/>
      <c r="AB1074" s="4"/>
      <c r="AC1074" s="4"/>
      <c r="AD1074" s="4"/>
      <c r="AE1074" s="4"/>
      <c r="AF1074" s="4"/>
      <c r="AG1074" s="4"/>
      <c r="AH1074" s="4"/>
      <c r="AI1074" s="4"/>
      <c r="AJ1074" s="14"/>
      <c r="AK1074" s="14"/>
      <c r="AL1074" s="14"/>
      <c r="AM1074" s="14"/>
      <c r="AN1074" s="14"/>
      <c r="AO1074" s="14"/>
      <c r="AP1074" s="14"/>
      <c r="AQ1074" s="14"/>
      <c r="AR1074" s="14"/>
      <c r="AS1074" s="14"/>
      <c r="AT1074" s="14"/>
      <c r="AV1074" s="68"/>
      <c r="AW1074" s="68"/>
      <c r="AX1074" s="68"/>
      <c r="AY1074" s="68"/>
    </row>
    <row r="1075" spans="1:51" ht="12.95" customHeight="1">
      <c r="A1075" s="198"/>
      <c r="B1075" s="67"/>
      <c r="C1075" s="1794"/>
      <c r="D1075" s="1794"/>
      <c r="E1075" s="67"/>
      <c r="F1075" s="67"/>
      <c r="G1075" s="67"/>
      <c r="H1075" s="67"/>
      <c r="I1075" s="67"/>
      <c r="J1075" s="67"/>
      <c r="K1075" s="67"/>
      <c r="L1075" s="67"/>
      <c r="M1075" s="67"/>
      <c r="N1075" s="67"/>
      <c r="O1075" s="67"/>
      <c r="P1075" s="67"/>
      <c r="Q1075" s="13"/>
      <c r="R1075" s="13"/>
      <c r="S1075" s="13"/>
      <c r="T1075" s="13"/>
      <c r="U1075" s="13"/>
      <c r="V1075" s="13"/>
      <c r="W1075" s="13"/>
      <c r="X1075" s="13"/>
      <c r="Y1075" s="4"/>
      <c r="Z1075" s="4"/>
      <c r="AA1075" s="4"/>
      <c r="AB1075" s="4"/>
      <c r="AC1075" s="4"/>
      <c r="AD1075" s="4"/>
      <c r="AE1075" s="4"/>
      <c r="AF1075" s="4"/>
      <c r="AG1075" s="4"/>
      <c r="AH1075" s="4"/>
      <c r="AI1075" s="4"/>
      <c r="AJ1075" s="14"/>
      <c r="AK1075" s="14"/>
      <c r="AL1075" s="14"/>
      <c r="AM1075" s="14"/>
      <c r="AN1075" s="14"/>
      <c r="AO1075" s="14"/>
      <c r="AP1075" s="14"/>
      <c r="AQ1075" s="14"/>
      <c r="AR1075" s="14"/>
      <c r="AS1075" s="14"/>
      <c r="AT1075" s="14"/>
      <c r="AV1075" s="68"/>
      <c r="AW1075" s="68"/>
      <c r="AX1075" s="68"/>
      <c r="AY1075" s="68"/>
    </row>
    <row r="1076" spans="1:51" ht="12.95" customHeight="1">
      <c r="A1076" s="1324" t="s">
        <v>591</v>
      </c>
      <c r="B1076" s="1324"/>
      <c r="C1076" s="1794">
        <v>2</v>
      </c>
      <c r="D1076" s="1794"/>
      <c r="E1076" s="1796" t="s">
        <v>2191</v>
      </c>
      <c r="F1076" s="1796"/>
      <c r="G1076" s="1796"/>
      <c r="H1076" s="1796"/>
      <c r="I1076" s="1796"/>
      <c r="J1076" s="1796"/>
      <c r="K1076" s="1796"/>
      <c r="L1076" s="1796"/>
      <c r="M1076" s="1796"/>
      <c r="N1076" s="1796"/>
      <c r="O1076" s="1796"/>
      <c r="P1076" s="1796"/>
      <c r="Q1076" s="1796"/>
      <c r="R1076" s="1796"/>
      <c r="S1076" s="1796"/>
      <c r="T1076" s="1796"/>
      <c r="U1076" s="1796"/>
      <c r="V1076" s="1796"/>
      <c r="W1076" s="1796"/>
      <c r="X1076" s="1796"/>
      <c r="Y1076" s="1796"/>
      <c r="Z1076" s="1796"/>
      <c r="AA1076" s="1796"/>
      <c r="AB1076" s="1796"/>
      <c r="AC1076" s="1796"/>
      <c r="AD1076" s="1796"/>
      <c r="AE1076" s="1796"/>
      <c r="AF1076" s="1796"/>
      <c r="AG1076" s="1796"/>
      <c r="AH1076" s="1796"/>
      <c r="AI1076" s="1796"/>
      <c r="AJ1076" s="1796"/>
      <c r="AK1076" s="1796"/>
      <c r="AL1076" s="1796"/>
      <c r="AM1076" s="1796"/>
      <c r="AN1076" s="1796"/>
      <c r="AO1076" s="1796"/>
      <c r="AP1076" s="1796"/>
      <c r="AQ1076" s="1796"/>
      <c r="AR1076" s="1796"/>
      <c r="AS1076" s="14"/>
      <c r="AT1076" s="14"/>
      <c r="AV1076" s="68"/>
      <c r="AW1076" s="68"/>
      <c r="AX1076" s="68"/>
      <c r="AY1076" s="68"/>
    </row>
    <row r="1077" spans="1:51" ht="12.95" customHeight="1">
      <c r="A1077" s="198"/>
      <c r="B1077" s="67"/>
      <c r="C1077" s="1794"/>
      <c r="D1077" s="1794"/>
      <c r="E1077" s="1796"/>
      <c r="F1077" s="1796"/>
      <c r="G1077" s="1796"/>
      <c r="H1077" s="1796"/>
      <c r="I1077" s="1796"/>
      <c r="J1077" s="1796"/>
      <c r="K1077" s="1796"/>
      <c r="L1077" s="1796"/>
      <c r="M1077" s="1796"/>
      <c r="N1077" s="1796"/>
      <c r="O1077" s="1796"/>
      <c r="P1077" s="1796"/>
      <c r="Q1077" s="1796"/>
      <c r="R1077" s="1796"/>
      <c r="S1077" s="1796"/>
      <c r="T1077" s="1796"/>
      <c r="U1077" s="1796"/>
      <c r="V1077" s="1796"/>
      <c r="W1077" s="1796"/>
      <c r="X1077" s="1796"/>
      <c r="Y1077" s="1796"/>
      <c r="Z1077" s="1796"/>
      <c r="AA1077" s="1796"/>
      <c r="AB1077" s="1796"/>
      <c r="AC1077" s="1796"/>
      <c r="AD1077" s="1796"/>
      <c r="AE1077" s="1796"/>
      <c r="AF1077" s="1796"/>
      <c r="AG1077" s="1796"/>
      <c r="AH1077" s="1796"/>
      <c r="AI1077" s="1796"/>
      <c r="AJ1077" s="1796"/>
      <c r="AK1077" s="1796"/>
      <c r="AL1077" s="1796"/>
      <c r="AM1077" s="1796"/>
      <c r="AN1077" s="1796"/>
      <c r="AO1077" s="1796"/>
      <c r="AP1077" s="1796"/>
      <c r="AQ1077" s="1796"/>
      <c r="AR1077" s="1796"/>
      <c r="AS1077" s="14"/>
      <c r="AT1077" s="14"/>
      <c r="AV1077" s="68"/>
      <c r="AW1077" s="68"/>
      <c r="AX1077" s="68"/>
      <c r="AY1077" s="68"/>
    </row>
    <row r="1078" spans="1:51" ht="12.95" customHeight="1">
      <c r="A1078" s="198"/>
      <c r="B1078" s="67"/>
      <c r="C1078" s="1794"/>
      <c r="D1078" s="1794"/>
      <c r="E1078" s="67"/>
      <c r="F1078" s="67"/>
      <c r="G1078" s="67"/>
      <c r="H1078" s="67"/>
      <c r="I1078" s="67"/>
      <c r="J1078" s="67"/>
      <c r="K1078" s="67"/>
      <c r="L1078" s="67"/>
      <c r="M1078" s="67"/>
      <c r="N1078" s="67"/>
      <c r="O1078" s="67"/>
      <c r="P1078" s="67"/>
      <c r="Q1078" s="13"/>
      <c r="R1078" s="13"/>
      <c r="S1078" s="13"/>
      <c r="T1078" s="13"/>
      <c r="U1078" s="13"/>
      <c r="V1078" s="13"/>
      <c r="W1078" s="13"/>
      <c r="X1078" s="13"/>
      <c r="Y1078" s="4"/>
      <c r="Z1078" s="4"/>
      <c r="AA1078" s="4"/>
      <c r="AB1078" s="4"/>
      <c r="AC1078" s="4"/>
      <c r="AD1078" s="4"/>
      <c r="AE1078" s="4"/>
      <c r="AF1078" s="4"/>
      <c r="AG1078" s="4"/>
      <c r="AH1078" s="4"/>
      <c r="AI1078" s="4"/>
      <c r="AJ1078" s="14"/>
      <c r="AK1078" s="14"/>
      <c r="AL1078" s="14"/>
      <c r="AM1078" s="14"/>
      <c r="AN1078" s="14"/>
      <c r="AO1078" s="14"/>
      <c r="AP1078" s="14"/>
      <c r="AQ1078" s="14"/>
      <c r="AR1078" s="14"/>
      <c r="AS1078" s="14"/>
      <c r="AT1078" s="14"/>
      <c r="AV1078" s="68"/>
      <c r="AW1078" s="68"/>
      <c r="AX1078" s="68"/>
      <c r="AY1078" s="68"/>
    </row>
    <row r="1079" spans="1:51" ht="12.95" customHeight="1">
      <c r="A1079" s="1324" t="s">
        <v>591</v>
      </c>
      <c r="B1079" s="1324"/>
      <c r="C1079" s="1356">
        <v>3</v>
      </c>
      <c r="D1079" s="1356"/>
      <c r="E1079" s="1759" t="s">
        <v>1080</v>
      </c>
      <c r="F1079" s="1759"/>
      <c r="G1079" s="1759"/>
      <c r="H1079" s="1759"/>
      <c r="I1079" s="1759"/>
      <c r="J1079" s="1759"/>
      <c r="K1079" s="1759"/>
      <c r="L1079" s="1759"/>
      <c r="M1079" s="1759"/>
      <c r="N1079" s="1759"/>
      <c r="O1079" s="1759"/>
      <c r="P1079" s="1759"/>
      <c r="Q1079" s="1759"/>
      <c r="R1079" s="1759"/>
      <c r="S1079" s="1759"/>
      <c r="T1079" s="1759"/>
      <c r="U1079" s="1759"/>
      <c r="V1079" s="1759"/>
      <c r="W1079" s="1759"/>
      <c r="X1079" s="1759"/>
      <c r="Y1079" s="1759"/>
      <c r="Z1079" s="1759"/>
      <c r="AA1079" s="1759"/>
      <c r="AB1079" s="1759"/>
      <c r="AC1079" s="1759"/>
      <c r="AD1079" s="1759"/>
      <c r="AE1079" s="1759"/>
      <c r="AF1079" s="1759"/>
      <c r="AG1079" s="1759"/>
      <c r="AH1079" s="1759"/>
      <c r="AI1079" s="1759"/>
      <c r="AJ1079" s="1759"/>
      <c r="AK1079" s="1759"/>
      <c r="AL1079" s="1759"/>
      <c r="AM1079" s="1759"/>
      <c r="AN1079" s="1759"/>
      <c r="AO1079" s="1759"/>
      <c r="AP1079" s="1759"/>
      <c r="AQ1079" s="1759"/>
      <c r="AR1079" s="1759"/>
      <c r="AS1079" s="14"/>
      <c r="AT1079" s="68"/>
      <c r="AV1079" s="68"/>
      <c r="AW1079" s="68"/>
      <c r="AX1079" s="68"/>
      <c r="AY1079" s="68"/>
    </row>
    <row r="1080" spans="1:51" ht="12.95" customHeight="1">
      <c r="A1080" s="1"/>
      <c r="B1080" s="1"/>
      <c r="C1080" s="1356"/>
      <c r="D1080" s="1356"/>
      <c r="E1080" s="1759"/>
      <c r="F1080" s="1759"/>
      <c r="G1080" s="1759"/>
      <c r="H1080" s="1759"/>
      <c r="I1080" s="1759"/>
      <c r="J1080" s="1759"/>
      <c r="K1080" s="1759"/>
      <c r="L1080" s="1759"/>
      <c r="M1080" s="1759"/>
      <c r="N1080" s="1759"/>
      <c r="O1080" s="1759"/>
      <c r="P1080" s="1759"/>
      <c r="Q1080" s="1759"/>
      <c r="R1080" s="1759"/>
      <c r="S1080" s="1759"/>
      <c r="T1080" s="1759"/>
      <c r="U1080" s="1759"/>
      <c r="V1080" s="1759"/>
      <c r="W1080" s="1759"/>
      <c r="X1080" s="1759"/>
      <c r="Y1080" s="1759"/>
      <c r="Z1080" s="1759"/>
      <c r="AA1080" s="1759"/>
      <c r="AB1080" s="1759"/>
      <c r="AC1080" s="1759"/>
      <c r="AD1080" s="1759"/>
      <c r="AE1080" s="1759"/>
      <c r="AF1080" s="1759"/>
      <c r="AG1080" s="1759"/>
      <c r="AH1080" s="1759"/>
      <c r="AI1080" s="1759"/>
      <c r="AJ1080" s="1759"/>
      <c r="AK1080" s="1759"/>
      <c r="AL1080" s="1759"/>
      <c r="AM1080" s="1759"/>
      <c r="AN1080" s="1759"/>
      <c r="AO1080" s="1759"/>
      <c r="AP1080" s="1759"/>
      <c r="AQ1080" s="1759"/>
      <c r="AR1080" s="1759"/>
      <c r="AS1080" s="14"/>
      <c r="AT1080" s="68"/>
      <c r="AV1080" s="68"/>
      <c r="AW1080" s="68"/>
      <c r="AX1080" s="68"/>
      <c r="AY1080" s="68"/>
    </row>
    <row r="1081" spans="1:51" ht="12.95" customHeight="1">
      <c r="A1081" s="1"/>
      <c r="B1081" s="1"/>
      <c r="C1081" s="1356"/>
      <c r="D1081" s="1356"/>
      <c r="E1081" s="1759"/>
      <c r="F1081" s="1759"/>
      <c r="G1081" s="1759"/>
      <c r="H1081" s="1759"/>
      <c r="I1081" s="1759"/>
      <c r="J1081" s="1759"/>
      <c r="K1081" s="1759"/>
      <c r="L1081" s="1759"/>
      <c r="M1081" s="1759"/>
      <c r="N1081" s="1759"/>
      <c r="O1081" s="1759"/>
      <c r="P1081" s="1759"/>
      <c r="Q1081" s="1759"/>
      <c r="R1081" s="1759"/>
      <c r="S1081" s="1759"/>
      <c r="T1081" s="1759"/>
      <c r="U1081" s="1759"/>
      <c r="V1081" s="1759"/>
      <c r="W1081" s="1759"/>
      <c r="X1081" s="1759"/>
      <c r="Y1081" s="1759"/>
      <c r="Z1081" s="1759"/>
      <c r="AA1081" s="1759"/>
      <c r="AB1081" s="1759"/>
      <c r="AC1081" s="1759"/>
      <c r="AD1081" s="1759"/>
      <c r="AE1081" s="1759"/>
      <c r="AF1081" s="1759"/>
      <c r="AG1081" s="1759"/>
      <c r="AH1081" s="1759"/>
      <c r="AI1081" s="1759"/>
      <c r="AJ1081" s="1759"/>
      <c r="AK1081" s="1759"/>
      <c r="AL1081" s="1759"/>
      <c r="AM1081" s="1759"/>
      <c r="AN1081" s="1759"/>
      <c r="AO1081" s="1759"/>
      <c r="AP1081" s="1759"/>
      <c r="AQ1081" s="1759"/>
      <c r="AR1081" s="1759"/>
      <c r="AS1081" s="14"/>
      <c r="AT1081" s="68"/>
      <c r="AV1081" s="68"/>
      <c r="AW1081" s="68"/>
      <c r="AX1081" s="68"/>
      <c r="AY1081" s="68"/>
    </row>
    <row r="1082" spans="1:51" ht="12.95" customHeight="1">
      <c r="A1082" s="1"/>
      <c r="B1082" s="1"/>
      <c r="C1082" s="1356"/>
      <c r="D1082" s="1356"/>
      <c r="E1082" s="1759"/>
      <c r="F1082" s="1759"/>
      <c r="G1082" s="1759"/>
      <c r="H1082" s="1759"/>
      <c r="I1082" s="1759"/>
      <c r="J1082" s="1759"/>
      <c r="K1082" s="1759"/>
      <c r="L1082" s="1759"/>
      <c r="M1082" s="1759"/>
      <c r="N1082" s="1759"/>
      <c r="O1082" s="1759"/>
      <c r="P1082" s="1759"/>
      <c r="Q1082" s="1759"/>
      <c r="R1082" s="1759"/>
      <c r="S1082" s="1759"/>
      <c r="T1082" s="1759"/>
      <c r="U1082" s="1759"/>
      <c r="V1082" s="1759"/>
      <c r="W1082" s="1759"/>
      <c r="X1082" s="1759"/>
      <c r="Y1082" s="1759"/>
      <c r="Z1082" s="1759"/>
      <c r="AA1082" s="1759"/>
      <c r="AB1082" s="1759"/>
      <c r="AC1082" s="1759"/>
      <c r="AD1082" s="1759"/>
      <c r="AE1082" s="1759"/>
      <c r="AF1082" s="1759"/>
      <c r="AG1082" s="1759"/>
      <c r="AH1082" s="1759"/>
      <c r="AI1082" s="1759"/>
      <c r="AJ1082" s="1759"/>
      <c r="AK1082" s="1759"/>
      <c r="AL1082" s="1759"/>
      <c r="AM1082" s="1759"/>
      <c r="AN1082" s="1759"/>
      <c r="AO1082" s="1759"/>
      <c r="AP1082" s="1759"/>
      <c r="AQ1082" s="1759"/>
      <c r="AR1082" s="1759"/>
      <c r="AS1082" s="14"/>
      <c r="AT1082" s="68"/>
      <c r="AV1082" s="68"/>
      <c r="AW1082" s="68"/>
      <c r="AX1082" s="68"/>
      <c r="AY1082" s="68"/>
    </row>
    <row r="1083" spans="1:51" ht="12.95" customHeight="1">
      <c r="A1083" s="2"/>
      <c r="B1083" s="25"/>
      <c r="C1083" s="1356"/>
      <c r="D1083" s="1356"/>
      <c r="E1083" s="455"/>
      <c r="F1083" s="455"/>
      <c r="G1083" s="455"/>
      <c r="H1083" s="455"/>
      <c r="I1083" s="455"/>
      <c r="J1083" s="455"/>
      <c r="K1083" s="455"/>
      <c r="L1083" s="455"/>
      <c r="M1083" s="455"/>
      <c r="N1083" s="455"/>
      <c r="O1083" s="455"/>
      <c r="P1083" s="455"/>
      <c r="Q1083" s="455"/>
      <c r="R1083" s="455"/>
      <c r="S1083" s="455"/>
      <c r="T1083" s="455"/>
      <c r="U1083" s="455"/>
      <c r="V1083" s="455"/>
      <c r="W1083" s="455"/>
      <c r="X1083" s="455"/>
      <c r="Y1083" s="455"/>
      <c r="Z1083" s="455"/>
      <c r="AA1083" s="455"/>
      <c r="AB1083" s="455"/>
      <c r="AC1083" s="455"/>
      <c r="AD1083" s="455"/>
      <c r="AE1083" s="455"/>
      <c r="AF1083" s="455"/>
      <c r="AG1083" s="455"/>
      <c r="AH1083" s="455"/>
      <c r="AI1083" s="455"/>
      <c r="AJ1083" s="455"/>
      <c r="AK1083" s="455"/>
      <c r="AL1083" s="68"/>
      <c r="AM1083" s="68"/>
      <c r="AN1083" s="68"/>
      <c r="AO1083" s="68"/>
      <c r="AP1083" s="68"/>
      <c r="AQ1083" s="68"/>
      <c r="AR1083" s="68"/>
      <c r="AS1083" s="14"/>
      <c r="AT1083" s="68"/>
      <c r="AV1083" s="68"/>
      <c r="AW1083" s="68"/>
      <c r="AX1083" s="68"/>
      <c r="AY1083" s="68"/>
    </row>
    <row r="1084" spans="1:51" ht="12.95" customHeight="1">
      <c r="A1084" s="1324" t="s">
        <v>591</v>
      </c>
      <c r="B1084" s="1324"/>
      <c r="C1084" s="1356">
        <v>4</v>
      </c>
      <c r="D1084" s="1356"/>
      <c r="E1084" s="1759" t="s">
        <v>1079</v>
      </c>
      <c r="F1084" s="1759"/>
      <c r="G1084" s="1759"/>
      <c r="H1084" s="1759"/>
      <c r="I1084" s="1759"/>
      <c r="J1084" s="1759"/>
      <c r="K1084" s="1759"/>
      <c r="L1084" s="1759"/>
      <c r="M1084" s="1759"/>
      <c r="N1084" s="1759"/>
      <c r="O1084" s="1759"/>
      <c r="P1084" s="1759"/>
      <c r="Q1084" s="1759"/>
      <c r="R1084" s="1759"/>
      <c r="S1084" s="1759"/>
      <c r="T1084" s="1759"/>
      <c r="U1084" s="1759"/>
      <c r="V1084" s="1759"/>
      <c r="W1084" s="1759"/>
      <c r="X1084" s="1759"/>
      <c r="Y1084" s="1759"/>
      <c r="Z1084" s="1759"/>
      <c r="AA1084" s="1759"/>
      <c r="AB1084" s="1759"/>
      <c r="AC1084" s="1759"/>
      <c r="AD1084" s="1759"/>
      <c r="AE1084" s="1759"/>
      <c r="AF1084" s="1759"/>
      <c r="AG1084" s="1759"/>
      <c r="AH1084" s="1759"/>
      <c r="AI1084" s="1759"/>
      <c r="AJ1084" s="1759"/>
      <c r="AK1084" s="1759"/>
      <c r="AL1084" s="1759"/>
      <c r="AM1084" s="1759"/>
      <c r="AN1084" s="1759"/>
      <c r="AO1084" s="1759"/>
      <c r="AP1084" s="1759"/>
      <c r="AQ1084" s="1759"/>
      <c r="AR1084" s="1759"/>
      <c r="AS1084" s="14"/>
      <c r="AT1084" s="68"/>
    </row>
    <row r="1085" spans="1:51" ht="12.95" customHeight="1">
      <c r="A1085" s="1"/>
      <c r="B1085" s="1"/>
      <c r="C1085" s="1356"/>
      <c r="D1085" s="1356"/>
      <c r="E1085" s="1759"/>
      <c r="F1085" s="1759"/>
      <c r="G1085" s="1759"/>
      <c r="H1085" s="1759"/>
      <c r="I1085" s="1759"/>
      <c r="J1085" s="1759"/>
      <c r="K1085" s="1759"/>
      <c r="L1085" s="1759"/>
      <c r="M1085" s="1759"/>
      <c r="N1085" s="1759"/>
      <c r="O1085" s="1759"/>
      <c r="P1085" s="1759"/>
      <c r="Q1085" s="1759"/>
      <c r="R1085" s="1759"/>
      <c r="S1085" s="1759"/>
      <c r="T1085" s="1759"/>
      <c r="U1085" s="1759"/>
      <c r="V1085" s="1759"/>
      <c r="W1085" s="1759"/>
      <c r="X1085" s="1759"/>
      <c r="Y1085" s="1759"/>
      <c r="Z1085" s="1759"/>
      <c r="AA1085" s="1759"/>
      <c r="AB1085" s="1759"/>
      <c r="AC1085" s="1759"/>
      <c r="AD1085" s="1759"/>
      <c r="AE1085" s="1759"/>
      <c r="AF1085" s="1759"/>
      <c r="AG1085" s="1759"/>
      <c r="AH1085" s="1759"/>
      <c r="AI1085" s="1759"/>
      <c r="AJ1085" s="1759"/>
      <c r="AK1085" s="1759"/>
      <c r="AL1085" s="1759"/>
      <c r="AM1085" s="1759"/>
      <c r="AN1085" s="1759"/>
      <c r="AO1085" s="1759"/>
      <c r="AP1085" s="1759"/>
      <c r="AQ1085" s="1759"/>
      <c r="AR1085" s="1759"/>
      <c r="AS1085" s="14"/>
      <c r="AT1085" s="68"/>
    </row>
    <row r="1086" spans="1:51" ht="12.95" customHeight="1">
      <c r="A1086" s="1"/>
      <c r="B1086" s="1"/>
      <c r="C1086" s="1356"/>
      <c r="D1086" s="1356"/>
      <c r="E1086" s="1759"/>
      <c r="F1086" s="1759"/>
      <c r="G1086" s="1759"/>
      <c r="H1086" s="1759"/>
      <c r="I1086" s="1759"/>
      <c r="J1086" s="1759"/>
      <c r="K1086" s="1759"/>
      <c r="L1086" s="1759"/>
      <c r="M1086" s="1759"/>
      <c r="N1086" s="1759"/>
      <c r="O1086" s="1759"/>
      <c r="P1086" s="1759"/>
      <c r="Q1086" s="1759"/>
      <c r="R1086" s="1759"/>
      <c r="S1086" s="1759"/>
      <c r="T1086" s="1759"/>
      <c r="U1086" s="1759"/>
      <c r="V1086" s="1759"/>
      <c r="W1086" s="1759"/>
      <c r="X1086" s="1759"/>
      <c r="Y1086" s="1759"/>
      <c r="Z1086" s="1759"/>
      <c r="AA1086" s="1759"/>
      <c r="AB1086" s="1759"/>
      <c r="AC1086" s="1759"/>
      <c r="AD1086" s="1759"/>
      <c r="AE1086" s="1759"/>
      <c r="AF1086" s="1759"/>
      <c r="AG1086" s="1759"/>
      <c r="AH1086" s="1759"/>
      <c r="AI1086" s="1759"/>
      <c r="AJ1086" s="1759"/>
      <c r="AK1086" s="1759"/>
      <c r="AL1086" s="1759"/>
      <c r="AM1086" s="1759"/>
      <c r="AN1086" s="1759"/>
      <c r="AO1086" s="1759"/>
      <c r="AP1086" s="1759"/>
      <c r="AQ1086" s="1759"/>
      <c r="AR1086" s="1759"/>
      <c r="AS1086" s="14"/>
      <c r="AT1086" s="68"/>
    </row>
    <row r="1087" spans="1:51" ht="12.95" customHeight="1">
      <c r="A1087" s="1"/>
      <c r="B1087" s="1"/>
      <c r="C1087" s="1356"/>
      <c r="D1087" s="1356"/>
      <c r="E1087" s="1759"/>
      <c r="F1087" s="1759"/>
      <c r="G1087" s="1759"/>
      <c r="H1087" s="1759"/>
      <c r="I1087" s="1759"/>
      <c r="J1087" s="1759"/>
      <c r="K1087" s="1759"/>
      <c r="L1087" s="1759"/>
      <c r="M1087" s="1759"/>
      <c r="N1087" s="1759"/>
      <c r="O1087" s="1759"/>
      <c r="P1087" s="1759"/>
      <c r="Q1087" s="1759"/>
      <c r="R1087" s="1759"/>
      <c r="S1087" s="1759"/>
      <c r="T1087" s="1759"/>
      <c r="U1087" s="1759"/>
      <c r="V1087" s="1759"/>
      <c r="W1087" s="1759"/>
      <c r="X1087" s="1759"/>
      <c r="Y1087" s="1759"/>
      <c r="Z1087" s="1759"/>
      <c r="AA1087" s="1759"/>
      <c r="AB1087" s="1759"/>
      <c r="AC1087" s="1759"/>
      <c r="AD1087" s="1759"/>
      <c r="AE1087" s="1759"/>
      <c r="AF1087" s="1759"/>
      <c r="AG1087" s="1759"/>
      <c r="AH1087" s="1759"/>
      <c r="AI1087" s="1759"/>
      <c r="AJ1087" s="1759"/>
      <c r="AK1087" s="1759"/>
      <c r="AL1087" s="1759"/>
      <c r="AM1087" s="1759"/>
      <c r="AN1087" s="1759"/>
      <c r="AO1087" s="1759"/>
      <c r="AP1087" s="1759"/>
      <c r="AQ1087" s="1759"/>
      <c r="AR1087" s="1759"/>
      <c r="AS1087" s="14"/>
      <c r="AT1087" s="68"/>
    </row>
    <row r="1088" spans="1:51" ht="12.95" customHeight="1">
      <c r="A1088" s="1"/>
      <c r="B1088" s="1"/>
      <c r="C1088" s="1356"/>
      <c r="D1088" s="1356"/>
      <c r="E1088" s="1759"/>
      <c r="F1088" s="1759"/>
      <c r="G1088" s="1759"/>
      <c r="H1088" s="1759"/>
      <c r="I1088" s="1759"/>
      <c r="J1088" s="1759"/>
      <c r="K1088" s="1759"/>
      <c r="L1088" s="1759"/>
      <c r="M1088" s="1759"/>
      <c r="N1088" s="1759"/>
      <c r="O1088" s="1759"/>
      <c r="P1088" s="1759"/>
      <c r="Q1088" s="1759"/>
      <c r="R1088" s="1759"/>
      <c r="S1088" s="1759"/>
      <c r="T1088" s="1759"/>
      <c r="U1088" s="1759"/>
      <c r="V1088" s="1759"/>
      <c r="W1088" s="1759"/>
      <c r="X1088" s="1759"/>
      <c r="Y1088" s="1759"/>
      <c r="Z1088" s="1759"/>
      <c r="AA1088" s="1759"/>
      <c r="AB1088" s="1759"/>
      <c r="AC1088" s="1759"/>
      <c r="AD1088" s="1759"/>
      <c r="AE1088" s="1759"/>
      <c r="AF1088" s="1759"/>
      <c r="AG1088" s="1759"/>
      <c r="AH1088" s="1759"/>
      <c r="AI1088" s="1759"/>
      <c r="AJ1088" s="1759"/>
      <c r="AK1088" s="1759"/>
      <c r="AL1088" s="1759"/>
      <c r="AM1088" s="1759"/>
      <c r="AN1088" s="1759"/>
      <c r="AO1088" s="1759"/>
      <c r="AP1088" s="1759"/>
      <c r="AQ1088" s="1759"/>
      <c r="AR1088" s="1759"/>
      <c r="AS1088" s="14"/>
      <c r="AT1088" s="68"/>
    </row>
    <row r="1089" spans="1:45" ht="12.95" customHeight="1">
      <c r="A1089" s="1"/>
      <c r="B1089" s="1"/>
      <c r="C1089" s="1356"/>
      <c r="D1089" s="1356"/>
      <c r="E1089" s="455"/>
      <c r="F1089" s="455"/>
      <c r="G1089" s="455"/>
      <c r="H1089" s="455"/>
      <c r="I1089" s="455"/>
      <c r="J1089" s="455"/>
      <c r="K1089" s="455"/>
      <c r="L1089" s="455"/>
      <c r="M1089" s="455"/>
      <c r="N1089" s="455"/>
      <c r="O1089" s="455"/>
      <c r="P1089" s="455"/>
      <c r="Q1089" s="455"/>
      <c r="R1089" s="455"/>
      <c r="S1089" s="455"/>
      <c r="T1089" s="455"/>
      <c r="U1089" s="455"/>
      <c r="V1089" s="455"/>
      <c r="W1089" s="455"/>
      <c r="X1089" s="455"/>
      <c r="Y1089" s="455"/>
      <c r="Z1089" s="455"/>
      <c r="AA1089" s="455"/>
      <c r="AB1089" s="455"/>
      <c r="AC1089" s="455"/>
      <c r="AD1089" s="455"/>
      <c r="AE1089" s="455"/>
      <c r="AF1089" s="455"/>
      <c r="AG1089" s="455"/>
      <c r="AH1089" s="455"/>
      <c r="AI1089" s="455"/>
      <c r="AJ1089" s="455"/>
      <c r="AK1089" s="455"/>
      <c r="AS1089" s="14"/>
    </row>
    <row r="1090" spans="1:45" ht="12.95" customHeight="1">
      <c r="A1090" s="1324" t="s">
        <v>591</v>
      </c>
      <c r="B1090" s="1324"/>
      <c r="C1090" s="1356">
        <v>5</v>
      </c>
      <c r="D1090" s="1356"/>
      <c r="E1090" s="1759" t="s">
        <v>2194</v>
      </c>
      <c r="F1090" s="1759"/>
      <c r="G1090" s="1759"/>
      <c r="H1090" s="1759"/>
      <c r="I1090" s="1759"/>
      <c r="J1090" s="1759"/>
      <c r="K1090" s="1759"/>
      <c r="L1090" s="1759"/>
      <c r="M1090" s="1759"/>
      <c r="N1090" s="1759"/>
      <c r="O1090" s="1759"/>
      <c r="P1090" s="1759"/>
      <c r="Q1090" s="1759"/>
      <c r="R1090" s="1759"/>
      <c r="S1090" s="1759"/>
      <c r="T1090" s="1759"/>
      <c r="U1090" s="1759"/>
      <c r="V1090" s="1759"/>
      <c r="W1090" s="1759"/>
      <c r="X1090" s="1759"/>
      <c r="Y1090" s="1759"/>
      <c r="Z1090" s="1759"/>
      <c r="AA1090" s="1759"/>
      <c r="AB1090" s="1759"/>
      <c r="AC1090" s="1759"/>
      <c r="AD1090" s="1759"/>
      <c r="AE1090" s="1759"/>
      <c r="AF1090" s="1759"/>
      <c r="AG1090" s="1759"/>
      <c r="AH1090" s="1759"/>
      <c r="AI1090" s="1759"/>
      <c r="AJ1090" s="1759"/>
      <c r="AK1090" s="1759"/>
      <c r="AL1090" s="1759"/>
      <c r="AM1090" s="1759"/>
      <c r="AN1090" s="1759"/>
      <c r="AO1090" s="1759"/>
      <c r="AP1090" s="1759"/>
      <c r="AQ1090" s="1759"/>
      <c r="AR1090" s="1759"/>
      <c r="AS1090" s="14"/>
    </row>
    <row r="1091" spans="1:45" ht="12.95" customHeight="1">
      <c r="A1091" s="4"/>
      <c r="B1091" s="4"/>
      <c r="C1091" s="1356"/>
      <c r="D1091" s="1356"/>
      <c r="E1091" s="1759"/>
      <c r="F1091" s="1759"/>
      <c r="G1091" s="1759"/>
      <c r="H1091" s="1759"/>
      <c r="I1091" s="1759"/>
      <c r="J1091" s="1759"/>
      <c r="K1091" s="1759"/>
      <c r="L1091" s="1759"/>
      <c r="M1091" s="1759"/>
      <c r="N1091" s="1759"/>
      <c r="O1091" s="1759"/>
      <c r="P1091" s="1759"/>
      <c r="Q1091" s="1759"/>
      <c r="R1091" s="1759"/>
      <c r="S1091" s="1759"/>
      <c r="T1091" s="1759"/>
      <c r="U1091" s="1759"/>
      <c r="V1091" s="1759"/>
      <c r="W1091" s="1759"/>
      <c r="X1091" s="1759"/>
      <c r="Y1091" s="1759"/>
      <c r="Z1091" s="1759"/>
      <c r="AA1091" s="1759"/>
      <c r="AB1091" s="1759"/>
      <c r="AC1091" s="1759"/>
      <c r="AD1091" s="1759"/>
      <c r="AE1091" s="1759"/>
      <c r="AF1091" s="1759"/>
      <c r="AG1091" s="1759"/>
      <c r="AH1091" s="1759"/>
      <c r="AI1091" s="1759"/>
      <c r="AJ1091" s="1759"/>
      <c r="AK1091" s="1759"/>
      <c r="AL1091" s="1759"/>
      <c r="AM1091" s="1759"/>
      <c r="AN1091" s="1759"/>
      <c r="AO1091" s="1759"/>
      <c r="AP1091" s="1759"/>
      <c r="AQ1091" s="1759"/>
      <c r="AR1091" s="1759"/>
      <c r="AS1091" s="14"/>
    </row>
    <row r="1092" spans="1:45" ht="12.95" customHeight="1">
      <c r="A1092" s="4"/>
      <c r="B1092" s="4"/>
      <c r="C1092" s="1356"/>
      <c r="D1092" s="1356"/>
      <c r="E1092" s="1759"/>
      <c r="F1092" s="1759"/>
      <c r="G1092" s="1759"/>
      <c r="H1092" s="1759"/>
      <c r="I1092" s="1759"/>
      <c r="J1092" s="1759"/>
      <c r="K1092" s="1759"/>
      <c r="L1092" s="1759"/>
      <c r="M1092" s="1759"/>
      <c r="N1092" s="1759"/>
      <c r="O1092" s="1759"/>
      <c r="P1092" s="1759"/>
      <c r="Q1092" s="1759"/>
      <c r="R1092" s="1759"/>
      <c r="S1092" s="1759"/>
      <c r="T1092" s="1759"/>
      <c r="U1092" s="1759"/>
      <c r="V1092" s="1759"/>
      <c r="W1092" s="1759"/>
      <c r="X1092" s="1759"/>
      <c r="Y1092" s="1759"/>
      <c r="Z1092" s="1759"/>
      <c r="AA1092" s="1759"/>
      <c r="AB1092" s="1759"/>
      <c r="AC1092" s="1759"/>
      <c r="AD1092" s="1759"/>
      <c r="AE1092" s="1759"/>
      <c r="AF1092" s="1759"/>
      <c r="AG1092" s="1759"/>
      <c r="AH1092" s="1759"/>
      <c r="AI1092" s="1759"/>
      <c r="AJ1092" s="1759"/>
      <c r="AK1092" s="1759"/>
      <c r="AL1092" s="1759"/>
      <c r="AM1092" s="1759"/>
      <c r="AN1092" s="1759"/>
      <c r="AO1092" s="1759"/>
      <c r="AP1092" s="1759"/>
      <c r="AQ1092" s="1759"/>
      <c r="AR1092" s="1759"/>
      <c r="AS1092" s="14"/>
    </row>
    <row r="1093" spans="1:45" ht="12.95" customHeight="1">
      <c r="A1093" s="35"/>
      <c r="B1093" s="25"/>
      <c r="C1093" s="1356"/>
      <c r="D1093" s="1356"/>
      <c r="E1093" s="455"/>
      <c r="F1093" s="455"/>
      <c r="G1093" s="455"/>
      <c r="H1093" s="455"/>
      <c r="I1093" s="455"/>
      <c r="J1093" s="455"/>
      <c r="K1093" s="455"/>
      <c r="L1093" s="455"/>
      <c r="M1093" s="455"/>
      <c r="N1093" s="455"/>
      <c r="O1093" s="455"/>
      <c r="P1093" s="455"/>
      <c r="Q1093" s="455"/>
      <c r="R1093" s="455"/>
      <c r="S1093" s="455"/>
      <c r="T1093" s="455"/>
      <c r="U1093" s="455"/>
      <c r="V1093" s="455"/>
      <c r="W1093" s="455"/>
      <c r="X1093" s="455"/>
      <c r="Y1093" s="455"/>
      <c r="Z1093" s="455"/>
      <c r="AA1093" s="455"/>
      <c r="AB1093" s="455"/>
      <c r="AC1093" s="455"/>
      <c r="AD1093" s="455"/>
      <c r="AE1093" s="455"/>
      <c r="AF1093" s="455"/>
      <c r="AG1093" s="455"/>
      <c r="AH1093" s="455"/>
      <c r="AI1093" s="455"/>
      <c r="AJ1093" s="455"/>
      <c r="AK1093" s="455"/>
      <c r="AS1093" s="14"/>
    </row>
    <row r="1094" spans="1:45" ht="12.95" customHeight="1">
      <c r="A1094" s="1324" t="s">
        <v>591</v>
      </c>
      <c r="B1094" s="1324"/>
      <c r="C1094" s="1356">
        <v>6</v>
      </c>
      <c r="D1094" s="1356"/>
      <c r="E1094" s="1759" t="s">
        <v>2195</v>
      </c>
      <c r="F1094" s="1759"/>
      <c r="G1094" s="1759"/>
      <c r="H1094" s="1759"/>
      <c r="I1094" s="1759"/>
      <c r="J1094" s="1759"/>
      <c r="K1094" s="1759"/>
      <c r="L1094" s="1759"/>
      <c r="M1094" s="1759"/>
      <c r="N1094" s="1759"/>
      <c r="O1094" s="1759"/>
      <c r="P1094" s="1759"/>
      <c r="Q1094" s="1759"/>
      <c r="R1094" s="1759"/>
      <c r="S1094" s="1759"/>
      <c r="T1094" s="1759"/>
      <c r="U1094" s="1759"/>
      <c r="V1094" s="1759"/>
      <c r="W1094" s="1759"/>
      <c r="X1094" s="1759"/>
      <c r="Y1094" s="1759"/>
      <c r="Z1094" s="1759"/>
      <c r="AA1094" s="1759"/>
      <c r="AB1094" s="1759"/>
      <c r="AC1094" s="1759"/>
      <c r="AD1094" s="1759"/>
      <c r="AE1094" s="1759"/>
      <c r="AF1094" s="1759"/>
      <c r="AG1094" s="1759"/>
      <c r="AH1094" s="1759"/>
      <c r="AI1094" s="1759"/>
      <c r="AJ1094" s="1759"/>
      <c r="AK1094" s="1759"/>
      <c r="AL1094" s="1759"/>
      <c r="AM1094" s="1759"/>
      <c r="AN1094" s="1759"/>
      <c r="AO1094" s="1759"/>
      <c r="AP1094" s="1759"/>
      <c r="AQ1094" s="1759"/>
      <c r="AR1094" s="1759"/>
      <c r="AS1094" s="14"/>
    </row>
    <row r="1095" spans="1:45" ht="12.95" customHeight="1">
      <c r="A1095" s="1"/>
      <c r="B1095" s="1"/>
      <c r="C1095" s="1"/>
      <c r="D1095" s="1"/>
      <c r="E1095" s="1759"/>
      <c r="F1095" s="1759"/>
      <c r="G1095" s="1759"/>
      <c r="H1095" s="1759"/>
      <c r="I1095" s="1759"/>
      <c r="J1095" s="1759"/>
      <c r="K1095" s="1759"/>
      <c r="L1095" s="1759"/>
      <c r="M1095" s="1759"/>
      <c r="N1095" s="1759"/>
      <c r="O1095" s="1759"/>
      <c r="P1095" s="1759"/>
      <c r="Q1095" s="1759"/>
      <c r="R1095" s="1759"/>
      <c r="S1095" s="1759"/>
      <c r="T1095" s="1759"/>
      <c r="U1095" s="1759"/>
      <c r="V1095" s="1759"/>
      <c r="W1095" s="1759"/>
      <c r="X1095" s="1759"/>
      <c r="Y1095" s="1759"/>
      <c r="Z1095" s="1759"/>
      <c r="AA1095" s="1759"/>
      <c r="AB1095" s="1759"/>
      <c r="AC1095" s="1759"/>
      <c r="AD1095" s="1759"/>
      <c r="AE1095" s="1759"/>
      <c r="AF1095" s="1759"/>
      <c r="AG1095" s="1759"/>
      <c r="AH1095" s="1759"/>
      <c r="AI1095" s="1759"/>
      <c r="AJ1095" s="1759"/>
      <c r="AK1095" s="1759"/>
      <c r="AL1095" s="1759"/>
      <c r="AM1095" s="1759"/>
      <c r="AN1095" s="1759"/>
      <c r="AO1095" s="1759"/>
      <c r="AP1095" s="1759"/>
      <c r="AQ1095" s="1759"/>
      <c r="AR1095" s="1759"/>
      <c r="AS1095" s="14"/>
    </row>
    <row r="1096" spans="1:45" ht="12.95" customHeight="1">
      <c r="A1096" s="1"/>
      <c r="B1096" s="1"/>
      <c r="C1096" s="1356"/>
      <c r="D1096" s="1356"/>
      <c r="E1096" s="1759"/>
      <c r="F1096" s="1759"/>
      <c r="G1096" s="1759"/>
      <c r="H1096" s="1759"/>
      <c r="I1096" s="1759"/>
      <c r="J1096" s="1759"/>
      <c r="K1096" s="1759"/>
      <c r="L1096" s="1759"/>
      <c r="M1096" s="1759"/>
      <c r="N1096" s="1759"/>
      <c r="O1096" s="1759"/>
      <c r="P1096" s="1759"/>
      <c r="Q1096" s="1759"/>
      <c r="R1096" s="1759"/>
      <c r="S1096" s="1759"/>
      <c r="T1096" s="1759"/>
      <c r="U1096" s="1759"/>
      <c r="V1096" s="1759"/>
      <c r="W1096" s="1759"/>
      <c r="X1096" s="1759"/>
      <c r="Y1096" s="1759"/>
      <c r="Z1096" s="1759"/>
      <c r="AA1096" s="1759"/>
      <c r="AB1096" s="1759"/>
      <c r="AC1096" s="1759"/>
      <c r="AD1096" s="1759"/>
      <c r="AE1096" s="1759"/>
      <c r="AF1096" s="1759"/>
      <c r="AG1096" s="1759"/>
      <c r="AH1096" s="1759"/>
      <c r="AI1096" s="1759"/>
      <c r="AJ1096" s="1759"/>
      <c r="AK1096" s="1759"/>
      <c r="AL1096" s="1759"/>
      <c r="AM1096" s="1759"/>
      <c r="AN1096" s="1759"/>
      <c r="AO1096" s="1759"/>
      <c r="AP1096" s="1759"/>
      <c r="AQ1096" s="1759"/>
      <c r="AR1096" s="1759"/>
      <c r="AS1096" s="14"/>
    </row>
    <row r="1097" spans="1:45" ht="12.95" customHeight="1">
      <c r="A1097" s="35"/>
      <c r="B1097" s="25"/>
      <c r="C1097" s="1356"/>
      <c r="D1097" s="1356"/>
      <c r="E1097" s="455"/>
      <c r="F1097" s="455"/>
      <c r="G1097" s="455"/>
      <c r="H1097" s="455"/>
      <c r="I1097" s="455"/>
      <c r="J1097" s="455"/>
      <c r="K1097" s="455"/>
      <c r="L1097" s="455"/>
      <c r="M1097" s="455"/>
      <c r="N1097" s="455"/>
      <c r="O1097" s="455"/>
      <c r="P1097" s="455"/>
      <c r="Q1097" s="455"/>
      <c r="R1097" s="455"/>
      <c r="S1097" s="455"/>
      <c r="T1097" s="455"/>
      <c r="U1097" s="455"/>
      <c r="V1097" s="455"/>
      <c r="W1097" s="455"/>
      <c r="X1097" s="455"/>
      <c r="Y1097" s="455"/>
      <c r="Z1097" s="455"/>
      <c r="AA1097" s="455"/>
      <c r="AB1097" s="455"/>
      <c r="AC1097" s="455"/>
      <c r="AD1097" s="455"/>
      <c r="AE1097" s="455"/>
      <c r="AF1097" s="455"/>
      <c r="AG1097" s="455"/>
      <c r="AH1097" s="455"/>
      <c r="AI1097" s="455"/>
      <c r="AJ1097" s="455"/>
      <c r="AK1097" s="455"/>
      <c r="AS1097" s="14"/>
    </row>
    <row r="1098" spans="1:45" ht="12.95" customHeight="1">
      <c r="A1098" s="1324" t="s">
        <v>591</v>
      </c>
      <c r="B1098" s="1324"/>
      <c r="C1098" s="1356">
        <v>7</v>
      </c>
      <c r="D1098" s="1356"/>
      <c r="E1098" s="1759" t="s">
        <v>2093</v>
      </c>
      <c r="F1098" s="1759"/>
      <c r="G1098" s="1759"/>
      <c r="H1098" s="1759"/>
      <c r="I1098" s="1759"/>
      <c r="J1098" s="1759"/>
      <c r="K1098" s="1759"/>
      <c r="L1098" s="1759"/>
      <c r="M1098" s="1759"/>
      <c r="N1098" s="1759"/>
      <c r="O1098" s="1759"/>
      <c r="P1098" s="1759"/>
      <c r="Q1098" s="1759"/>
      <c r="R1098" s="1759"/>
      <c r="S1098" s="1759"/>
      <c r="T1098" s="1759"/>
      <c r="U1098" s="1759"/>
      <c r="V1098" s="1759"/>
      <c r="W1098" s="1759"/>
      <c r="X1098" s="1759"/>
      <c r="Y1098" s="1759"/>
      <c r="Z1098" s="1759"/>
      <c r="AA1098" s="1759"/>
      <c r="AB1098" s="1759"/>
      <c r="AC1098" s="1759"/>
      <c r="AD1098" s="1759"/>
      <c r="AE1098" s="1759"/>
      <c r="AF1098" s="1759"/>
      <c r="AG1098" s="1759"/>
      <c r="AH1098" s="1759"/>
      <c r="AI1098" s="1759"/>
      <c r="AJ1098" s="1759"/>
      <c r="AK1098" s="1759"/>
      <c r="AL1098" s="1759"/>
      <c r="AM1098" s="1759"/>
      <c r="AN1098" s="1759"/>
      <c r="AO1098" s="1759"/>
      <c r="AP1098" s="1759"/>
      <c r="AQ1098" s="1759"/>
      <c r="AR1098" s="1759"/>
      <c r="AS1098" s="14"/>
    </row>
    <row r="1099" spans="1:45" ht="12.95" customHeight="1">
      <c r="A1099" s="1"/>
      <c r="B1099" s="1"/>
      <c r="C1099" s="1356"/>
      <c r="D1099" s="1356"/>
      <c r="E1099" s="1759"/>
      <c r="F1099" s="1759"/>
      <c r="G1099" s="1759"/>
      <c r="H1099" s="1759"/>
      <c r="I1099" s="1759"/>
      <c r="J1099" s="1759"/>
      <c r="K1099" s="1759"/>
      <c r="L1099" s="1759"/>
      <c r="M1099" s="1759"/>
      <c r="N1099" s="1759"/>
      <c r="O1099" s="1759"/>
      <c r="P1099" s="1759"/>
      <c r="Q1099" s="1759"/>
      <c r="R1099" s="1759"/>
      <c r="S1099" s="1759"/>
      <c r="T1099" s="1759"/>
      <c r="U1099" s="1759"/>
      <c r="V1099" s="1759"/>
      <c r="W1099" s="1759"/>
      <c r="X1099" s="1759"/>
      <c r="Y1099" s="1759"/>
      <c r="Z1099" s="1759"/>
      <c r="AA1099" s="1759"/>
      <c r="AB1099" s="1759"/>
      <c r="AC1099" s="1759"/>
      <c r="AD1099" s="1759"/>
      <c r="AE1099" s="1759"/>
      <c r="AF1099" s="1759"/>
      <c r="AG1099" s="1759"/>
      <c r="AH1099" s="1759"/>
      <c r="AI1099" s="1759"/>
      <c r="AJ1099" s="1759"/>
      <c r="AK1099" s="1759"/>
      <c r="AL1099" s="1759"/>
      <c r="AM1099" s="1759"/>
      <c r="AN1099" s="1759"/>
      <c r="AO1099" s="1759"/>
      <c r="AP1099" s="1759"/>
      <c r="AQ1099" s="1759"/>
      <c r="AR1099" s="1759"/>
      <c r="AS1099" s="14"/>
    </row>
    <row r="1100" spans="1:45" ht="12.95" customHeight="1">
      <c r="A1100" s="1"/>
      <c r="B1100" s="1"/>
      <c r="C1100" s="1356"/>
      <c r="D1100" s="1356"/>
      <c r="E1100" s="1759"/>
      <c r="F1100" s="1759"/>
      <c r="G1100" s="1759"/>
      <c r="H1100" s="1759"/>
      <c r="I1100" s="1759"/>
      <c r="J1100" s="1759"/>
      <c r="K1100" s="1759"/>
      <c r="L1100" s="1759"/>
      <c r="M1100" s="1759"/>
      <c r="N1100" s="1759"/>
      <c r="O1100" s="1759"/>
      <c r="P1100" s="1759"/>
      <c r="Q1100" s="1759"/>
      <c r="R1100" s="1759"/>
      <c r="S1100" s="1759"/>
      <c r="T1100" s="1759"/>
      <c r="U1100" s="1759"/>
      <c r="V1100" s="1759"/>
      <c r="W1100" s="1759"/>
      <c r="X1100" s="1759"/>
      <c r="Y1100" s="1759"/>
      <c r="Z1100" s="1759"/>
      <c r="AA1100" s="1759"/>
      <c r="AB1100" s="1759"/>
      <c r="AC1100" s="1759"/>
      <c r="AD1100" s="1759"/>
      <c r="AE1100" s="1759"/>
      <c r="AF1100" s="1759"/>
      <c r="AG1100" s="1759"/>
      <c r="AH1100" s="1759"/>
      <c r="AI1100" s="1759"/>
      <c r="AJ1100" s="1759"/>
      <c r="AK1100" s="1759"/>
      <c r="AL1100" s="1759"/>
      <c r="AM1100" s="1759"/>
      <c r="AN1100" s="1759"/>
      <c r="AO1100" s="1759"/>
      <c r="AP1100" s="1759"/>
      <c r="AQ1100" s="1759"/>
      <c r="AR1100" s="1759"/>
      <c r="AS1100" s="14"/>
    </row>
    <row r="1101" spans="1:45" ht="12.95" customHeight="1">
      <c r="A1101" s="1"/>
      <c r="B1101" s="1"/>
      <c r="C1101" s="1356"/>
      <c r="D1101" s="1356"/>
      <c r="E1101" s="455"/>
      <c r="F1101" s="455"/>
      <c r="G1101" s="455"/>
      <c r="H1101" s="455"/>
      <c r="I1101" s="455"/>
      <c r="J1101" s="455"/>
      <c r="K1101" s="455"/>
      <c r="L1101" s="455"/>
      <c r="M1101" s="455"/>
      <c r="N1101" s="455"/>
      <c r="O1101" s="455"/>
      <c r="P1101" s="455"/>
      <c r="Q1101" s="455"/>
      <c r="R1101" s="455"/>
      <c r="S1101" s="455"/>
      <c r="T1101" s="455"/>
      <c r="U1101" s="455"/>
      <c r="V1101" s="455"/>
      <c r="W1101" s="455"/>
      <c r="X1101" s="455"/>
      <c r="Y1101" s="455"/>
      <c r="Z1101" s="455"/>
      <c r="AA1101" s="455"/>
      <c r="AB1101" s="455"/>
      <c r="AC1101" s="455"/>
      <c r="AD1101" s="455"/>
      <c r="AE1101" s="455"/>
      <c r="AF1101" s="455"/>
      <c r="AG1101" s="455"/>
      <c r="AH1101" s="455"/>
      <c r="AI1101" s="455"/>
      <c r="AJ1101" s="455"/>
      <c r="AK1101" s="455"/>
    </row>
    <row r="1102" spans="1:45" ht="12.95" customHeight="1">
      <c r="A1102" s="35"/>
      <c r="B1102" s="25"/>
      <c r="C1102" s="1356"/>
      <c r="D1102" s="1356"/>
      <c r="E1102" s="455"/>
      <c r="F1102" s="455"/>
      <c r="G1102" s="455"/>
      <c r="H1102" s="455"/>
      <c r="I1102" s="455"/>
      <c r="J1102" s="455"/>
      <c r="K1102" s="455"/>
      <c r="L1102" s="455"/>
      <c r="M1102" s="455"/>
      <c r="N1102" s="455"/>
      <c r="O1102" s="455"/>
      <c r="P1102" s="455"/>
      <c r="Q1102" s="455"/>
      <c r="R1102" s="455"/>
      <c r="S1102" s="455"/>
      <c r="T1102" s="455"/>
      <c r="U1102" s="455"/>
      <c r="V1102" s="455"/>
      <c r="W1102" s="455"/>
      <c r="X1102" s="455"/>
      <c r="Y1102" s="455"/>
      <c r="Z1102" s="455"/>
      <c r="AA1102" s="455"/>
      <c r="AB1102" s="455"/>
      <c r="AC1102" s="455"/>
      <c r="AD1102" s="455"/>
      <c r="AE1102" s="455"/>
      <c r="AF1102" s="455"/>
      <c r="AG1102" s="455"/>
      <c r="AH1102" s="455"/>
      <c r="AI1102" s="455"/>
      <c r="AJ1102" s="455"/>
      <c r="AK1102" s="455"/>
    </row>
    <row r="1103" spans="1:45" ht="12.95" customHeight="1">
      <c r="A1103" s="1324" t="s">
        <v>591</v>
      </c>
      <c r="B1103" s="1324"/>
      <c r="C1103" s="1356">
        <v>8</v>
      </c>
      <c r="D1103" s="1356"/>
      <c r="E1103" s="1759" t="s">
        <v>1073</v>
      </c>
      <c r="F1103" s="1759"/>
      <c r="G1103" s="1759"/>
      <c r="H1103" s="1759"/>
      <c r="I1103" s="1759"/>
      <c r="J1103" s="1759"/>
      <c r="K1103" s="1759"/>
      <c r="L1103" s="1759"/>
      <c r="M1103" s="1759"/>
      <c r="N1103" s="1759"/>
      <c r="O1103" s="1759"/>
      <c r="P1103" s="1759"/>
      <c r="Q1103" s="1759"/>
      <c r="R1103" s="1759"/>
      <c r="S1103" s="1759"/>
      <c r="T1103" s="1759"/>
      <c r="U1103" s="1759"/>
      <c r="V1103" s="1759"/>
      <c r="W1103" s="1759"/>
      <c r="X1103" s="1759"/>
      <c r="Y1103" s="1759"/>
      <c r="Z1103" s="1759"/>
      <c r="AA1103" s="1759"/>
      <c r="AB1103" s="1759"/>
      <c r="AC1103" s="1759"/>
      <c r="AD1103" s="1759"/>
      <c r="AE1103" s="1759"/>
      <c r="AF1103" s="1759"/>
      <c r="AG1103" s="1759"/>
      <c r="AH1103" s="1759"/>
      <c r="AI1103" s="1759"/>
      <c r="AJ1103" s="1759"/>
      <c r="AK1103" s="1759"/>
      <c r="AL1103" s="1759"/>
      <c r="AM1103" s="1759"/>
      <c r="AN1103" s="1759"/>
      <c r="AO1103" s="1759"/>
      <c r="AP1103" s="1759"/>
      <c r="AQ1103" s="1759"/>
      <c r="AR1103" s="1759"/>
    </row>
    <row r="1104" spans="1:45" ht="12.95" customHeight="1">
      <c r="A1104" s="35"/>
      <c r="B1104" s="25"/>
      <c r="C1104" s="1356"/>
      <c r="D1104" s="1356"/>
      <c r="E1104" s="1759"/>
      <c r="F1104" s="1759"/>
      <c r="G1104" s="1759"/>
      <c r="H1104" s="1759"/>
      <c r="I1104" s="1759"/>
      <c r="J1104" s="1759"/>
      <c r="K1104" s="1759"/>
      <c r="L1104" s="1759"/>
      <c r="M1104" s="1759"/>
      <c r="N1104" s="1759"/>
      <c r="O1104" s="1759"/>
      <c r="P1104" s="1759"/>
      <c r="Q1104" s="1759"/>
      <c r="R1104" s="1759"/>
      <c r="S1104" s="1759"/>
      <c r="T1104" s="1759"/>
      <c r="U1104" s="1759"/>
      <c r="V1104" s="1759"/>
      <c r="W1104" s="1759"/>
      <c r="X1104" s="1759"/>
      <c r="Y1104" s="1759"/>
      <c r="Z1104" s="1759"/>
      <c r="AA1104" s="1759"/>
      <c r="AB1104" s="1759"/>
      <c r="AC1104" s="1759"/>
      <c r="AD1104" s="1759"/>
      <c r="AE1104" s="1759"/>
      <c r="AF1104" s="1759"/>
      <c r="AG1104" s="1759"/>
      <c r="AH1104" s="1759"/>
      <c r="AI1104" s="1759"/>
      <c r="AJ1104" s="1759"/>
      <c r="AK1104" s="1759"/>
      <c r="AL1104" s="1759"/>
      <c r="AM1104" s="1759"/>
      <c r="AN1104" s="1759"/>
      <c r="AO1104" s="1759"/>
      <c r="AP1104" s="1759"/>
      <c r="AQ1104" s="1759"/>
      <c r="AR1104" s="1759"/>
    </row>
    <row r="1105" spans="1:44" ht="12.95" customHeight="1">
      <c r="A1105" s="35"/>
      <c r="B1105" s="25"/>
      <c r="C1105" s="1356"/>
      <c r="D1105" s="1356"/>
      <c r="E1105" s="455"/>
      <c r="F1105" s="455"/>
      <c r="G1105" s="455"/>
      <c r="H1105" s="455"/>
      <c r="I1105" s="455"/>
      <c r="J1105" s="455"/>
      <c r="K1105" s="455"/>
      <c r="L1105" s="455"/>
      <c r="M1105" s="455"/>
      <c r="N1105" s="455"/>
      <c r="O1105" s="455"/>
      <c r="P1105" s="455"/>
      <c r="Q1105" s="455"/>
      <c r="R1105" s="455"/>
      <c r="S1105" s="455"/>
      <c r="T1105" s="455"/>
      <c r="U1105" s="455"/>
      <c r="V1105" s="455"/>
      <c r="W1105" s="455"/>
      <c r="X1105" s="455"/>
      <c r="Y1105" s="455"/>
      <c r="Z1105" s="455"/>
      <c r="AA1105" s="455"/>
      <c r="AB1105" s="455"/>
      <c r="AC1105" s="455"/>
      <c r="AD1105" s="455"/>
      <c r="AE1105" s="455"/>
      <c r="AF1105" s="455"/>
      <c r="AG1105" s="455"/>
      <c r="AH1105" s="455"/>
      <c r="AI1105" s="455"/>
      <c r="AJ1105" s="455"/>
      <c r="AK1105" s="455"/>
    </row>
    <row r="1106" spans="1:44" ht="12.95" customHeight="1">
      <c r="A1106" s="1324" t="s">
        <v>591</v>
      </c>
      <c r="B1106" s="1324"/>
      <c r="C1106" s="1794">
        <v>9</v>
      </c>
      <c r="D1106" s="1794"/>
      <c r="E1106" s="1759" t="s">
        <v>1075</v>
      </c>
      <c r="F1106" s="1759"/>
      <c r="G1106" s="1759"/>
      <c r="H1106" s="1759"/>
      <c r="I1106" s="1759"/>
      <c r="J1106" s="1759"/>
      <c r="K1106" s="1759"/>
      <c r="L1106" s="1759"/>
      <c r="M1106" s="1759"/>
      <c r="N1106" s="1759"/>
      <c r="O1106" s="1759"/>
      <c r="P1106" s="1759"/>
      <c r="Q1106" s="1759"/>
      <c r="R1106" s="1759"/>
      <c r="S1106" s="1759"/>
      <c r="T1106" s="1759"/>
      <c r="U1106" s="1759"/>
      <c r="V1106" s="1759"/>
      <c r="W1106" s="1759"/>
      <c r="X1106" s="1759"/>
      <c r="Y1106" s="1759"/>
      <c r="Z1106" s="1759"/>
      <c r="AA1106" s="1759"/>
      <c r="AB1106" s="1759"/>
      <c r="AC1106" s="1759"/>
      <c r="AD1106" s="1759"/>
      <c r="AE1106" s="1759"/>
      <c r="AF1106" s="1759"/>
      <c r="AG1106" s="1759"/>
      <c r="AH1106" s="1759"/>
      <c r="AI1106" s="1759"/>
      <c r="AJ1106" s="1759"/>
      <c r="AK1106" s="1759"/>
      <c r="AL1106" s="1759"/>
      <c r="AM1106" s="1759"/>
      <c r="AN1106" s="1759"/>
      <c r="AO1106" s="1759"/>
      <c r="AP1106" s="1759"/>
      <c r="AQ1106" s="1759"/>
      <c r="AR1106" s="1759"/>
    </row>
    <row r="1107" spans="1:44" ht="12.95" customHeight="1">
      <c r="A1107" s="1"/>
      <c r="B1107" s="1"/>
      <c r="C1107" s="1794"/>
      <c r="D1107" s="1794"/>
      <c r="E1107" s="1759"/>
      <c r="F1107" s="1759"/>
      <c r="G1107" s="1759"/>
      <c r="H1107" s="1759"/>
      <c r="I1107" s="1759"/>
      <c r="J1107" s="1759"/>
      <c r="K1107" s="1759"/>
      <c r="L1107" s="1759"/>
      <c r="M1107" s="1759"/>
      <c r="N1107" s="1759"/>
      <c r="O1107" s="1759"/>
      <c r="P1107" s="1759"/>
      <c r="Q1107" s="1759"/>
      <c r="R1107" s="1759"/>
      <c r="S1107" s="1759"/>
      <c r="T1107" s="1759"/>
      <c r="U1107" s="1759"/>
      <c r="V1107" s="1759"/>
      <c r="W1107" s="1759"/>
      <c r="X1107" s="1759"/>
      <c r="Y1107" s="1759"/>
      <c r="Z1107" s="1759"/>
      <c r="AA1107" s="1759"/>
      <c r="AB1107" s="1759"/>
      <c r="AC1107" s="1759"/>
      <c r="AD1107" s="1759"/>
      <c r="AE1107" s="1759"/>
      <c r="AF1107" s="1759"/>
      <c r="AG1107" s="1759"/>
      <c r="AH1107" s="1759"/>
      <c r="AI1107" s="1759"/>
      <c r="AJ1107" s="1759"/>
      <c r="AK1107" s="1759"/>
      <c r="AL1107" s="1759"/>
      <c r="AM1107" s="1759"/>
      <c r="AN1107" s="1759"/>
      <c r="AO1107" s="1759"/>
      <c r="AP1107" s="1759"/>
      <c r="AQ1107" s="1759"/>
      <c r="AR1107" s="1759"/>
    </row>
    <row r="1108" spans="1:44" ht="12.95" customHeight="1">
      <c r="A1108" s="35"/>
      <c r="B1108" s="25"/>
      <c r="C1108" s="1794"/>
      <c r="D1108" s="1794"/>
      <c r="E1108" s="455"/>
      <c r="F1108" s="455"/>
      <c r="G1108" s="455"/>
      <c r="H1108" s="455"/>
      <c r="I1108" s="455"/>
      <c r="J1108" s="455"/>
      <c r="K1108" s="455"/>
      <c r="L1108" s="455"/>
      <c r="M1108" s="455"/>
      <c r="N1108" s="455"/>
      <c r="O1108" s="455"/>
      <c r="P1108" s="455"/>
      <c r="Q1108" s="455"/>
      <c r="R1108" s="455"/>
      <c r="S1108" s="455"/>
      <c r="T1108" s="455"/>
      <c r="U1108" s="455"/>
      <c r="V1108" s="455"/>
      <c r="W1108" s="455"/>
      <c r="X1108" s="455"/>
      <c r="Y1108" s="455"/>
      <c r="Z1108" s="455"/>
      <c r="AA1108" s="455"/>
      <c r="AB1108" s="455"/>
      <c r="AC1108" s="455"/>
      <c r="AD1108" s="455"/>
      <c r="AE1108" s="455"/>
      <c r="AF1108" s="455"/>
      <c r="AG1108" s="455"/>
      <c r="AH1108" s="455"/>
      <c r="AI1108" s="455"/>
      <c r="AJ1108" s="455"/>
      <c r="AK1108" s="455"/>
    </row>
    <row r="1109" spans="1:44" ht="12.95" customHeight="1">
      <c r="A1109" s="1324" t="s">
        <v>591</v>
      </c>
      <c r="B1109" s="1324"/>
      <c r="C1109" s="1794">
        <v>10</v>
      </c>
      <c r="D1109" s="1794"/>
      <c r="E1109" s="1795" t="s">
        <v>2192</v>
      </c>
      <c r="F1109" s="1795"/>
      <c r="G1109" s="1795"/>
      <c r="H1109" s="1795"/>
      <c r="I1109" s="1795"/>
      <c r="J1109" s="1795"/>
      <c r="K1109" s="1795"/>
      <c r="L1109" s="1795"/>
      <c r="M1109" s="1795"/>
      <c r="N1109" s="1795"/>
      <c r="O1109" s="1795"/>
      <c r="P1109" s="1795"/>
      <c r="Q1109" s="1795"/>
      <c r="R1109" s="1795"/>
      <c r="S1109" s="1795"/>
      <c r="T1109" s="1795"/>
      <c r="U1109" s="1795"/>
      <c r="V1109" s="1795"/>
      <c r="W1109" s="1795"/>
      <c r="X1109" s="1795"/>
      <c r="Y1109" s="1795"/>
      <c r="Z1109" s="1795"/>
      <c r="AA1109" s="1795"/>
      <c r="AB1109" s="1795"/>
      <c r="AC1109" s="1795"/>
      <c r="AD1109" s="1795"/>
      <c r="AE1109" s="1795"/>
      <c r="AF1109" s="1795"/>
      <c r="AG1109" s="1795"/>
      <c r="AH1109" s="1795"/>
      <c r="AI1109" s="1795"/>
      <c r="AJ1109" s="1795"/>
      <c r="AK1109" s="1795"/>
      <c r="AL1109" s="1795"/>
      <c r="AM1109" s="1795"/>
      <c r="AN1109" s="1795"/>
      <c r="AO1109" s="1795"/>
      <c r="AP1109" s="1795"/>
      <c r="AQ1109" s="1795"/>
      <c r="AR1109" s="1795"/>
    </row>
    <row r="1110" spans="1:44" ht="12.95" customHeight="1">
      <c r="A1110" s="1"/>
      <c r="B1110" s="1"/>
      <c r="C1110" s="199"/>
      <c r="D1110" s="1154"/>
      <c r="E1110" s="1795"/>
      <c r="F1110" s="1795"/>
      <c r="G1110" s="1795"/>
      <c r="H1110" s="1795"/>
      <c r="I1110" s="1795"/>
      <c r="J1110" s="1795"/>
      <c r="K1110" s="1795"/>
      <c r="L1110" s="1795"/>
      <c r="M1110" s="1795"/>
      <c r="N1110" s="1795"/>
      <c r="O1110" s="1795"/>
      <c r="P1110" s="1795"/>
      <c r="Q1110" s="1795"/>
      <c r="R1110" s="1795"/>
      <c r="S1110" s="1795"/>
      <c r="T1110" s="1795"/>
      <c r="U1110" s="1795"/>
      <c r="V1110" s="1795"/>
      <c r="W1110" s="1795"/>
      <c r="X1110" s="1795"/>
      <c r="Y1110" s="1795"/>
      <c r="Z1110" s="1795"/>
      <c r="AA1110" s="1795"/>
      <c r="AB1110" s="1795"/>
      <c r="AC1110" s="1795"/>
      <c r="AD1110" s="1795"/>
      <c r="AE1110" s="1795"/>
      <c r="AF1110" s="1795"/>
      <c r="AG1110" s="1795"/>
      <c r="AH1110" s="1795"/>
      <c r="AI1110" s="1795"/>
      <c r="AJ1110" s="1795"/>
      <c r="AK1110" s="1795"/>
      <c r="AL1110" s="1795"/>
      <c r="AM1110" s="1795"/>
      <c r="AN1110" s="1795"/>
      <c r="AO1110" s="1795"/>
      <c r="AP1110" s="1795"/>
      <c r="AQ1110" s="1795"/>
      <c r="AR1110" s="1795"/>
    </row>
    <row r="1111" spans="1:44" ht="12.95" customHeight="1">
      <c r="A1111" s="1"/>
      <c r="B1111" s="1"/>
      <c r="C1111" s="199"/>
      <c r="D1111" s="1154"/>
      <c r="E1111" s="1154"/>
      <c r="F1111" s="1154"/>
      <c r="G1111" s="1154"/>
      <c r="H1111" s="1154"/>
      <c r="I1111" s="1154"/>
      <c r="J1111" s="1154"/>
      <c r="K1111" s="1154"/>
      <c r="L1111" s="1154"/>
      <c r="M1111" s="1154"/>
      <c r="N1111" s="1154"/>
      <c r="O1111" s="1154"/>
      <c r="P1111" s="1154"/>
      <c r="Q1111" s="1154"/>
      <c r="R1111" s="1154"/>
      <c r="S1111" s="1154"/>
      <c r="T1111" s="1154"/>
      <c r="U1111" s="1154"/>
      <c r="V1111" s="1154"/>
      <c r="W1111" s="1154"/>
      <c r="X1111" s="1154"/>
      <c r="Y1111" s="1154"/>
      <c r="Z1111" s="1154"/>
      <c r="AA1111" s="1154"/>
      <c r="AB1111" s="1154"/>
      <c r="AC1111" s="1154"/>
      <c r="AD1111" s="1154"/>
      <c r="AE1111" s="1154"/>
      <c r="AF1111" s="1154"/>
      <c r="AG1111" s="1154"/>
      <c r="AH1111" s="1154"/>
      <c r="AI1111" s="1154"/>
      <c r="AJ1111" s="1154"/>
      <c r="AK1111" s="1154"/>
    </row>
    <row r="1112" spans="1:44" ht="12.95" customHeight="1">
      <c r="A1112" s="1324" t="s">
        <v>591</v>
      </c>
      <c r="B1112" s="1324"/>
      <c r="C1112" s="1794">
        <v>11</v>
      </c>
      <c r="D1112" s="1794"/>
      <c r="E1112" s="1795" t="s">
        <v>2193</v>
      </c>
      <c r="F1112" s="1795"/>
      <c r="G1112" s="1795"/>
      <c r="H1112" s="1795"/>
      <c r="I1112" s="1795"/>
      <c r="J1112" s="1795"/>
      <c r="K1112" s="1795"/>
      <c r="L1112" s="1795"/>
      <c r="M1112" s="1795"/>
      <c r="N1112" s="1795"/>
      <c r="O1112" s="1795"/>
      <c r="P1112" s="1795"/>
      <c r="Q1112" s="1795"/>
      <c r="R1112" s="1795"/>
      <c r="S1112" s="1795"/>
      <c r="T1112" s="1795"/>
      <c r="U1112" s="1795"/>
      <c r="V1112" s="1795"/>
      <c r="W1112" s="1795"/>
      <c r="X1112" s="1795"/>
      <c r="Y1112" s="1795"/>
      <c r="Z1112" s="1795"/>
      <c r="AA1112" s="1795"/>
      <c r="AB1112" s="1795"/>
      <c r="AC1112" s="1795"/>
      <c r="AD1112" s="1795"/>
      <c r="AE1112" s="1795"/>
      <c r="AF1112" s="1795"/>
      <c r="AG1112" s="1795"/>
      <c r="AH1112" s="1795"/>
      <c r="AI1112" s="1795"/>
      <c r="AJ1112" s="1795"/>
      <c r="AK1112" s="1795"/>
      <c r="AL1112" s="1795"/>
      <c r="AM1112" s="1795"/>
      <c r="AN1112" s="1795"/>
      <c r="AO1112" s="1795"/>
      <c r="AP1112" s="1795"/>
      <c r="AQ1112" s="1795"/>
      <c r="AR1112" s="1795"/>
    </row>
    <row r="1113" spans="1:44" ht="12.95" customHeight="1">
      <c r="A1113" s="1"/>
      <c r="B1113" s="1"/>
      <c r="C1113" s="199"/>
      <c r="D1113" s="1154"/>
      <c r="E1113" s="1795"/>
      <c r="F1113" s="1795"/>
      <c r="G1113" s="1795"/>
      <c r="H1113" s="1795"/>
      <c r="I1113" s="1795"/>
      <c r="J1113" s="1795"/>
      <c r="K1113" s="1795"/>
      <c r="L1113" s="1795"/>
      <c r="M1113" s="1795"/>
      <c r="N1113" s="1795"/>
      <c r="O1113" s="1795"/>
      <c r="P1113" s="1795"/>
      <c r="Q1113" s="1795"/>
      <c r="R1113" s="1795"/>
      <c r="S1113" s="1795"/>
      <c r="T1113" s="1795"/>
      <c r="U1113" s="1795"/>
      <c r="V1113" s="1795"/>
      <c r="W1113" s="1795"/>
      <c r="X1113" s="1795"/>
      <c r="Y1113" s="1795"/>
      <c r="Z1113" s="1795"/>
      <c r="AA1113" s="1795"/>
      <c r="AB1113" s="1795"/>
      <c r="AC1113" s="1795"/>
      <c r="AD1113" s="1795"/>
      <c r="AE1113" s="1795"/>
      <c r="AF1113" s="1795"/>
      <c r="AG1113" s="1795"/>
      <c r="AH1113" s="1795"/>
      <c r="AI1113" s="1795"/>
      <c r="AJ1113" s="1795"/>
      <c r="AK1113" s="1795"/>
      <c r="AL1113" s="1795"/>
      <c r="AM1113" s="1795"/>
      <c r="AN1113" s="1795"/>
      <c r="AO1113" s="1795"/>
      <c r="AP1113" s="1795"/>
      <c r="AQ1113" s="1795"/>
      <c r="AR1113" s="1795"/>
    </row>
    <row r="1114" spans="1:44" ht="12.95" customHeight="1">
      <c r="A1114" s="1"/>
      <c r="B1114" s="1"/>
      <c r="C1114" s="199"/>
      <c r="D1114" s="1154"/>
      <c r="E1114" s="1154"/>
      <c r="F1114" s="1154"/>
      <c r="G1114" s="1154"/>
      <c r="H1114" s="1154"/>
      <c r="I1114" s="1154"/>
      <c r="J1114" s="1154"/>
      <c r="K1114" s="1154"/>
      <c r="L1114" s="1154"/>
      <c r="M1114" s="1154"/>
      <c r="N1114" s="1154"/>
      <c r="O1114" s="1154"/>
      <c r="P1114" s="1154"/>
      <c r="Q1114" s="1154"/>
      <c r="R1114" s="1154"/>
      <c r="S1114" s="1154"/>
      <c r="T1114" s="1154"/>
      <c r="U1114" s="1154"/>
      <c r="V1114" s="1154"/>
      <c r="W1114" s="1154"/>
      <c r="X1114" s="1154"/>
      <c r="Y1114" s="1154"/>
      <c r="Z1114" s="1154"/>
      <c r="AA1114" s="1154"/>
      <c r="AB1114" s="1154"/>
      <c r="AC1114" s="1154"/>
      <c r="AD1114" s="1154"/>
      <c r="AE1114" s="1154"/>
      <c r="AF1114" s="1154"/>
      <c r="AG1114" s="1154"/>
      <c r="AH1114" s="1154"/>
      <c r="AI1114" s="1154"/>
      <c r="AJ1114" s="1154"/>
      <c r="AK1114" s="1154"/>
    </row>
    <row r="1115" spans="1:44" ht="12.95" hidden="1" customHeight="1">
      <c r="A1115" s="1"/>
      <c r="B1115" s="1"/>
      <c r="C1115" s="199"/>
      <c r="D1115" s="1154"/>
      <c r="E1115" s="1154"/>
      <c r="F1115" s="1154"/>
      <c r="G1115" s="1154"/>
      <c r="H1115" s="1154"/>
      <c r="I1115" s="1154"/>
      <c r="J1115" s="1154"/>
      <c r="K1115" s="1154"/>
      <c r="L1115" s="1154"/>
      <c r="M1115" s="1154"/>
      <c r="N1115" s="1154"/>
      <c r="O1115" s="1154"/>
      <c r="P1115" s="1154"/>
      <c r="Q1115" s="1154"/>
      <c r="R1115" s="1154"/>
      <c r="S1115" s="1154"/>
      <c r="T1115" s="1154"/>
      <c r="U1115" s="1154"/>
      <c r="V1115" s="1154"/>
      <c r="W1115" s="1154"/>
      <c r="X1115" s="1154"/>
      <c r="Y1115" s="1154"/>
      <c r="Z1115" s="1154"/>
      <c r="AA1115" s="1154"/>
      <c r="AB1115" s="1154"/>
      <c r="AC1115" s="1154"/>
      <c r="AD1115" s="1154"/>
      <c r="AE1115" s="1154"/>
      <c r="AF1115" s="1154"/>
      <c r="AG1115" s="1154"/>
      <c r="AH1115" s="1154"/>
      <c r="AI1115" s="1154"/>
      <c r="AJ1115" s="1154"/>
      <c r="AK1115" s="1154"/>
    </row>
    <row r="1116" spans="1:44" ht="12.95" hidden="1" customHeight="1">
      <c r="A1116" s="1"/>
      <c r="B1116" s="1"/>
      <c r="C1116" s="199"/>
      <c r="D1116" s="1154"/>
      <c r="E1116" s="1154"/>
      <c r="F1116" s="1154"/>
      <c r="G1116" s="1154"/>
      <c r="H1116" s="1154"/>
      <c r="I1116" s="1154"/>
      <c r="J1116" s="1154"/>
      <c r="K1116" s="1154"/>
      <c r="L1116" s="1154"/>
      <c r="M1116" s="1154"/>
      <c r="N1116" s="1154"/>
      <c r="O1116" s="1154"/>
      <c r="P1116" s="1154"/>
      <c r="Q1116" s="1154"/>
      <c r="R1116" s="1154"/>
      <c r="S1116" s="1154"/>
      <c r="T1116" s="1154"/>
      <c r="U1116" s="1154"/>
      <c r="V1116" s="1154"/>
      <c r="W1116" s="1154"/>
      <c r="X1116" s="1154"/>
      <c r="Y1116" s="1154"/>
      <c r="Z1116" s="1154"/>
      <c r="AA1116" s="1154"/>
      <c r="AB1116" s="1154"/>
      <c r="AC1116" s="1154"/>
      <c r="AD1116" s="1154"/>
      <c r="AE1116" s="1154"/>
      <c r="AF1116" s="1154"/>
      <c r="AG1116" s="1154"/>
      <c r="AH1116" s="1154"/>
      <c r="AI1116" s="1154"/>
      <c r="AJ1116" s="1154"/>
      <c r="AK1116" s="1154"/>
    </row>
    <row r="1117" spans="1:44" ht="12.95" hidden="1" customHeight="1">
      <c r="A1117" s="1"/>
      <c r="B1117" s="1"/>
      <c r="C1117" s="199"/>
      <c r="D1117" s="1154"/>
      <c r="E1117" s="1154"/>
      <c r="F1117" s="1154"/>
      <c r="G1117" s="1154"/>
      <c r="H1117" s="1154"/>
      <c r="I1117" s="1154"/>
      <c r="J1117" s="1154"/>
      <c r="K1117" s="1154"/>
      <c r="L1117" s="1154"/>
      <c r="M1117" s="1154"/>
      <c r="N1117" s="1154"/>
      <c r="O1117" s="1154"/>
      <c r="P1117" s="1154"/>
      <c r="Q1117" s="1154"/>
      <c r="R1117" s="1154"/>
      <c r="S1117" s="1154"/>
      <c r="T1117" s="1154"/>
      <c r="U1117" s="1154"/>
      <c r="V1117" s="1154"/>
      <c r="W1117" s="1154"/>
      <c r="X1117" s="1154"/>
      <c r="Y1117" s="1154"/>
      <c r="Z1117" s="1154"/>
      <c r="AA1117" s="1154"/>
      <c r="AB1117" s="1154"/>
      <c r="AC1117" s="1154"/>
      <c r="AD1117" s="1154"/>
      <c r="AE1117" s="1154"/>
      <c r="AF1117" s="1154"/>
      <c r="AG1117" s="1154"/>
      <c r="AH1117" s="1154"/>
      <c r="AI1117" s="1154"/>
      <c r="AJ1117" s="1154"/>
      <c r="AK1117" s="1154"/>
    </row>
    <row r="1118" spans="1:44" ht="12.95" hidden="1" customHeight="1">
      <c r="A1118" s="1"/>
      <c r="B1118" s="1"/>
      <c r="C1118" s="199"/>
      <c r="D1118" s="1154"/>
      <c r="E1118" s="1154"/>
      <c r="F1118" s="1154"/>
      <c r="G1118" s="1154"/>
      <c r="H1118" s="1154"/>
      <c r="I1118" s="1154"/>
      <c r="J1118" s="1154"/>
      <c r="K1118" s="1154"/>
      <c r="L1118" s="1154"/>
      <c r="M1118" s="1154"/>
      <c r="N1118" s="1154"/>
      <c r="O1118" s="1154"/>
      <c r="P1118" s="1154"/>
      <c r="Q1118" s="1154"/>
      <c r="R1118" s="1154"/>
      <c r="S1118" s="1154"/>
      <c r="T1118" s="1154"/>
      <c r="U1118" s="1154"/>
      <c r="V1118" s="1154"/>
      <c r="W1118" s="1154"/>
      <c r="X1118" s="1154"/>
      <c r="Y1118" s="1154"/>
      <c r="Z1118" s="1154"/>
      <c r="AA1118" s="1154"/>
      <c r="AB1118" s="1154"/>
      <c r="AC1118" s="1154"/>
      <c r="AD1118" s="1154"/>
      <c r="AE1118" s="1154"/>
      <c r="AF1118" s="1154"/>
      <c r="AG1118" s="1154"/>
      <c r="AH1118" s="1154"/>
      <c r="AI1118" s="1154"/>
      <c r="AJ1118" s="1154"/>
      <c r="AK1118" s="1154"/>
    </row>
    <row r="1119" spans="1:44" ht="12.95" hidden="1" customHeight="1">
      <c r="A1119" s="1"/>
      <c r="B1119" s="1"/>
      <c r="C1119" s="199"/>
      <c r="D1119" s="1154"/>
      <c r="E1119" s="1154"/>
      <c r="F1119" s="1154"/>
      <c r="G1119" s="1154"/>
      <c r="H1119" s="1154"/>
      <c r="I1119" s="1154"/>
      <c r="J1119" s="1154"/>
      <c r="K1119" s="1154"/>
      <c r="L1119" s="1154"/>
      <c r="M1119" s="1154"/>
      <c r="N1119" s="1154"/>
      <c r="O1119" s="1154"/>
      <c r="P1119" s="1154"/>
      <c r="Q1119" s="1154"/>
      <c r="R1119" s="1154"/>
      <c r="S1119" s="1154"/>
      <c r="T1119" s="1154"/>
      <c r="U1119" s="1154"/>
      <c r="V1119" s="1154"/>
      <c r="W1119" s="1154"/>
      <c r="X1119" s="1154"/>
      <c r="Y1119" s="1154"/>
      <c r="Z1119" s="1154"/>
      <c r="AA1119" s="1154"/>
      <c r="AB1119" s="1154"/>
      <c r="AC1119" s="1154"/>
      <c r="AD1119" s="1154"/>
      <c r="AE1119" s="1154"/>
      <c r="AF1119" s="1154"/>
      <c r="AG1119" s="1154"/>
      <c r="AH1119" s="1154"/>
      <c r="AI1119" s="1154"/>
      <c r="AJ1119" s="1154"/>
      <c r="AK1119" s="1154"/>
    </row>
    <row r="1120" spans="1:44" ht="12.95" hidden="1" customHeight="1">
      <c r="A1120" s="1"/>
      <c r="B1120" s="1"/>
      <c r="C1120" s="199"/>
      <c r="D1120" s="1154"/>
      <c r="E1120" s="1154"/>
      <c r="F1120" s="1154"/>
      <c r="G1120" s="1154"/>
      <c r="H1120" s="1154"/>
      <c r="I1120" s="1154"/>
      <c r="J1120" s="1154"/>
      <c r="K1120" s="1154"/>
      <c r="L1120" s="1154"/>
      <c r="M1120" s="1154"/>
      <c r="N1120" s="1154"/>
      <c r="O1120" s="1154"/>
      <c r="P1120" s="1154"/>
      <c r="Q1120" s="1154"/>
      <c r="R1120" s="1154"/>
      <c r="S1120" s="1154"/>
      <c r="T1120" s="1154"/>
      <c r="U1120" s="1154"/>
      <c r="V1120" s="1154"/>
      <c r="W1120" s="1154"/>
      <c r="X1120" s="1154"/>
      <c r="Y1120" s="1154"/>
      <c r="Z1120" s="1154"/>
      <c r="AA1120" s="1154"/>
      <c r="AB1120" s="1154"/>
      <c r="AC1120" s="1154"/>
      <c r="AD1120" s="1154"/>
      <c r="AE1120" s="1154"/>
      <c r="AF1120" s="1154"/>
      <c r="AG1120" s="1154"/>
      <c r="AH1120" s="1154"/>
      <c r="AI1120" s="1154"/>
      <c r="AJ1120" s="1154"/>
      <c r="AK1120" s="1154"/>
    </row>
    <row r="1121" spans="1:37" ht="12.95" hidden="1" customHeight="1">
      <c r="A1121" s="1"/>
      <c r="B1121" s="1"/>
      <c r="C1121" s="199"/>
      <c r="D1121" s="1154"/>
      <c r="E1121" s="1154"/>
      <c r="F1121" s="1154"/>
      <c r="G1121" s="1154"/>
      <c r="H1121" s="1154"/>
      <c r="I1121" s="1154"/>
      <c r="J1121" s="1154"/>
      <c r="K1121" s="1154"/>
      <c r="L1121" s="1154"/>
      <c r="M1121" s="1154"/>
      <c r="N1121" s="1154"/>
      <c r="O1121" s="1154"/>
      <c r="P1121" s="1154"/>
      <c r="Q1121" s="1154"/>
      <c r="R1121" s="1154"/>
      <c r="S1121" s="1154"/>
      <c r="T1121" s="1154"/>
      <c r="U1121" s="1154"/>
      <c r="V1121" s="1154"/>
      <c r="W1121" s="1154"/>
      <c r="X1121" s="1154"/>
      <c r="Y1121" s="1154"/>
      <c r="Z1121" s="1154"/>
      <c r="AA1121" s="1154"/>
      <c r="AB1121" s="1154"/>
      <c r="AC1121" s="1154"/>
      <c r="AD1121" s="1154"/>
      <c r="AE1121" s="1154"/>
      <c r="AF1121" s="1154"/>
      <c r="AG1121" s="1154"/>
      <c r="AH1121" s="1154"/>
      <c r="AI1121" s="1154"/>
      <c r="AJ1121" s="1154"/>
      <c r="AK1121" s="1154"/>
    </row>
    <row r="1122" spans="1:37" ht="12.95" hidden="1" customHeight="1">
      <c r="A1122" s="1"/>
      <c r="B1122" s="1"/>
      <c r="C1122" s="199"/>
      <c r="D1122" s="1154"/>
      <c r="E1122" s="1154"/>
      <c r="F1122" s="1154"/>
      <c r="G1122" s="1154"/>
      <c r="H1122" s="1154"/>
      <c r="I1122" s="1154"/>
      <c r="J1122" s="1154"/>
      <c r="K1122" s="1154"/>
      <c r="L1122" s="1154"/>
      <c r="M1122" s="1154"/>
      <c r="N1122" s="1154"/>
      <c r="O1122" s="1154"/>
      <c r="P1122" s="1154"/>
      <c r="Q1122" s="1154"/>
      <c r="R1122" s="1154"/>
      <c r="S1122" s="1154"/>
      <c r="T1122" s="1154"/>
      <c r="U1122" s="1154"/>
      <c r="V1122" s="1154"/>
      <c r="W1122" s="1154"/>
      <c r="X1122" s="1154"/>
      <c r="Y1122" s="1154"/>
      <c r="Z1122" s="1154"/>
      <c r="AA1122" s="1154"/>
      <c r="AB1122" s="1154"/>
      <c r="AC1122" s="1154"/>
      <c r="AD1122" s="1154"/>
      <c r="AE1122" s="1154"/>
      <c r="AF1122" s="1154"/>
      <c r="AG1122" s="1154"/>
      <c r="AH1122" s="1154"/>
      <c r="AI1122" s="1154"/>
      <c r="AJ1122" s="1154"/>
      <c r="AK1122" s="1154"/>
    </row>
    <row r="1123" spans="1:37" ht="12.95" hidden="1" customHeight="1">
      <c r="A1123" s="1"/>
      <c r="B1123" s="1"/>
      <c r="C1123" s="199"/>
      <c r="D1123" s="1154"/>
      <c r="E1123" s="1154"/>
      <c r="F1123" s="1154"/>
      <c r="G1123" s="1154"/>
      <c r="H1123" s="1154"/>
      <c r="I1123" s="1154"/>
      <c r="J1123" s="1154"/>
      <c r="K1123" s="1154"/>
      <c r="L1123" s="1154"/>
      <c r="M1123" s="1154"/>
      <c r="N1123" s="1154"/>
      <c r="O1123" s="1154"/>
      <c r="P1123" s="1154"/>
      <c r="Q1123" s="1154"/>
      <c r="R1123" s="1154"/>
      <c r="S1123" s="1154"/>
      <c r="T1123" s="1154"/>
      <c r="U1123" s="1154"/>
      <c r="V1123" s="1154"/>
      <c r="W1123" s="1154"/>
      <c r="X1123" s="1154"/>
      <c r="Y1123" s="1154"/>
      <c r="Z1123" s="1154"/>
      <c r="AA1123" s="1154"/>
      <c r="AB1123" s="1154"/>
      <c r="AC1123" s="1154"/>
      <c r="AD1123" s="1154"/>
      <c r="AE1123" s="1154"/>
      <c r="AF1123" s="1154"/>
      <c r="AG1123" s="1154"/>
      <c r="AH1123" s="1154"/>
      <c r="AI1123" s="1154"/>
      <c r="AJ1123" s="1154"/>
      <c r="AK1123" s="1154"/>
    </row>
    <row r="1124" spans="1:37" ht="12.95" hidden="1" customHeight="1">
      <c r="A1124" s="1"/>
      <c r="B1124" s="1"/>
      <c r="C1124" s="199"/>
      <c r="D1124" s="1154"/>
      <c r="E1124" s="1154"/>
      <c r="F1124" s="1154"/>
      <c r="G1124" s="1154"/>
      <c r="H1124" s="1154"/>
      <c r="I1124" s="1154"/>
      <c r="J1124" s="1154"/>
      <c r="K1124" s="1154"/>
      <c r="L1124" s="1154"/>
      <c r="M1124" s="1154"/>
      <c r="N1124" s="1154"/>
      <c r="O1124" s="1154"/>
      <c r="P1124" s="1154"/>
      <c r="Q1124" s="1154"/>
      <c r="R1124" s="1154"/>
      <c r="S1124" s="1154"/>
      <c r="T1124" s="1154"/>
      <c r="U1124" s="1154"/>
      <c r="V1124" s="1154"/>
      <c r="W1124" s="1154"/>
      <c r="X1124" s="1154"/>
      <c r="Y1124" s="1154"/>
      <c r="Z1124" s="1154"/>
      <c r="AA1124" s="1154"/>
      <c r="AB1124" s="1154"/>
      <c r="AC1124" s="1154"/>
      <c r="AD1124" s="1154"/>
      <c r="AE1124" s="1154"/>
      <c r="AF1124" s="1154"/>
      <c r="AG1124" s="1154"/>
      <c r="AH1124" s="1154"/>
      <c r="AI1124" s="1154"/>
      <c r="AJ1124" s="1154"/>
      <c r="AK1124" s="1154"/>
    </row>
    <row r="1125" spans="1:37" ht="12.95" hidden="1" customHeight="1">
      <c r="A1125" s="1"/>
      <c r="B1125" s="1"/>
      <c r="C1125" s="199"/>
      <c r="D1125" s="1154"/>
      <c r="E1125" s="1154"/>
      <c r="F1125" s="1154"/>
      <c r="G1125" s="1154"/>
      <c r="H1125" s="1154"/>
      <c r="I1125" s="1154"/>
      <c r="J1125" s="1154"/>
      <c r="K1125" s="1154"/>
      <c r="L1125" s="1154"/>
      <c r="M1125" s="1154"/>
      <c r="N1125" s="1154"/>
      <c r="O1125" s="1154"/>
      <c r="P1125" s="1154"/>
      <c r="Q1125" s="1154"/>
      <c r="R1125" s="1154"/>
      <c r="S1125" s="1154"/>
      <c r="T1125" s="1154"/>
      <c r="U1125" s="1154"/>
      <c r="V1125" s="1154"/>
      <c r="W1125" s="1154"/>
      <c r="X1125" s="1154"/>
      <c r="Y1125" s="1154"/>
      <c r="Z1125" s="1154"/>
      <c r="AA1125" s="1154"/>
      <c r="AB1125" s="1154"/>
      <c r="AC1125" s="1154"/>
      <c r="AD1125" s="1154"/>
      <c r="AE1125" s="1154"/>
      <c r="AF1125" s="1154"/>
      <c r="AG1125" s="1154"/>
      <c r="AH1125" s="1154"/>
      <c r="AI1125" s="1154"/>
      <c r="AJ1125" s="1154"/>
      <c r="AK1125" s="1154"/>
    </row>
    <row r="1126" spans="1:37" ht="12.95" hidden="1" customHeight="1">
      <c r="A1126" s="1"/>
      <c r="B1126" s="1"/>
      <c r="C1126" s="199"/>
      <c r="D1126" s="1154"/>
      <c r="E1126" s="1154"/>
      <c r="F1126" s="1154"/>
      <c r="G1126" s="1154"/>
      <c r="H1126" s="1154"/>
      <c r="I1126" s="1154"/>
      <c r="J1126" s="1154"/>
      <c r="K1126" s="1154"/>
      <c r="L1126" s="1154"/>
      <c r="M1126" s="1154"/>
      <c r="N1126" s="1154"/>
      <c r="O1126" s="1154"/>
      <c r="P1126" s="1154"/>
      <c r="Q1126" s="1154"/>
      <c r="R1126" s="1154"/>
      <c r="S1126" s="1154"/>
      <c r="T1126" s="1154"/>
      <c r="U1126" s="1154"/>
      <c r="V1126" s="1154"/>
      <c r="W1126" s="1154"/>
      <c r="X1126" s="1154"/>
      <c r="Y1126" s="1154"/>
      <c r="Z1126" s="1154"/>
      <c r="AA1126" s="1154"/>
      <c r="AB1126" s="1154"/>
      <c r="AC1126" s="1154"/>
      <c r="AD1126" s="1154"/>
      <c r="AE1126" s="1154"/>
      <c r="AF1126" s="1154"/>
      <c r="AG1126" s="1154"/>
      <c r="AH1126" s="1154"/>
      <c r="AI1126" s="1154"/>
      <c r="AJ1126" s="1154"/>
      <c r="AK1126" s="1154"/>
    </row>
    <row r="1127" spans="1:37" ht="12.95" hidden="1" customHeight="1">
      <c r="A1127" s="1"/>
      <c r="B1127" s="1"/>
      <c r="C1127" s="199"/>
      <c r="D1127" s="1154"/>
      <c r="E1127" s="1154"/>
      <c r="F1127" s="1154"/>
      <c r="G1127" s="1154"/>
      <c r="H1127" s="1154"/>
      <c r="I1127" s="1154"/>
      <c r="J1127" s="1154"/>
      <c r="K1127" s="1154"/>
      <c r="L1127" s="1154"/>
      <c r="M1127" s="1154"/>
      <c r="N1127" s="1154"/>
      <c r="O1127" s="1154"/>
      <c r="P1127" s="1154"/>
      <c r="Q1127" s="1154"/>
      <c r="R1127" s="1154"/>
      <c r="S1127" s="1154"/>
      <c r="T1127" s="1154"/>
      <c r="U1127" s="1154"/>
      <c r="V1127" s="1154"/>
      <c r="W1127" s="1154"/>
      <c r="X1127" s="1154"/>
      <c r="Y1127" s="1154"/>
      <c r="Z1127" s="1154"/>
      <c r="AA1127" s="1154"/>
      <c r="AB1127" s="1154"/>
      <c r="AC1127" s="1154"/>
      <c r="AD1127" s="1154"/>
      <c r="AE1127" s="1154"/>
      <c r="AF1127" s="1154"/>
      <c r="AG1127" s="1154"/>
      <c r="AH1127" s="1154"/>
      <c r="AI1127" s="1154"/>
      <c r="AJ1127" s="1154"/>
      <c r="AK1127" s="1154"/>
    </row>
    <row r="1128" spans="1:37" ht="12.95" hidden="1" customHeight="1">
      <c r="A1128" s="1"/>
      <c r="B1128" s="1"/>
      <c r="C1128" s="199"/>
      <c r="D1128" s="1154"/>
      <c r="E1128" s="1154"/>
      <c r="F1128" s="1154"/>
      <c r="G1128" s="1154"/>
      <c r="H1128" s="1154"/>
      <c r="I1128" s="1154"/>
      <c r="J1128" s="1154"/>
      <c r="K1128" s="1154"/>
      <c r="L1128" s="1154"/>
      <c r="M1128" s="1154"/>
      <c r="N1128" s="1154"/>
      <c r="O1128" s="1154"/>
      <c r="P1128" s="1154"/>
      <c r="Q1128" s="1154"/>
      <c r="R1128" s="1154"/>
      <c r="S1128" s="1154"/>
      <c r="T1128" s="1154"/>
      <c r="U1128" s="1154"/>
      <c r="V1128" s="1154"/>
      <c r="W1128" s="1154"/>
      <c r="X1128" s="1154"/>
      <c r="Y1128" s="1154"/>
      <c r="Z1128" s="1154"/>
      <c r="AA1128" s="1154"/>
      <c r="AB1128" s="1154"/>
      <c r="AC1128" s="1154"/>
      <c r="AD1128" s="1154"/>
      <c r="AE1128" s="1154"/>
      <c r="AF1128" s="1154"/>
      <c r="AG1128" s="1154"/>
      <c r="AH1128" s="1154"/>
      <c r="AI1128" s="1154"/>
      <c r="AJ1128" s="1154"/>
      <c r="AK1128" s="1154"/>
    </row>
    <row r="1129" spans="1:37" ht="12.95" hidden="1" customHeight="1">
      <c r="A1129" s="1"/>
      <c r="B1129" s="1"/>
      <c r="C1129" s="199"/>
      <c r="D1129" s="1154"/>
      <c r="E1129" s="1154"/>
      <c r="F1129" s="1154"/>
      <c r="G1129" s="1154"/>
      <c r="H1129" s="1154"/>
      <c r="I1129" s="1154"/>
      <c r="J1129" s="1154"/>
      <c r="K1129" s="1154"/>
      <c r="L1129" s="1154"/>
      <c r="M1129" s="1154"/>
      <c r="N1129" s="1154"/>
      <c r="O1129" s="1154"/>
      <c r="P1129" s="1154"/>
      <c r="Q1129" s="1154"/>
      <c r="R1129" s="1154"/>
      <c r="S1129" s="1154"/>
      <c r="T1129" s="1154"/>
      <c r="U1129" s="1154"/>
      <c r="V1129" s="1154"/>
      <c r="W1129" s="1154"/>
      <c r="X1129" s="1154"/>
      <c r="Y1129" s="1154"/>
      <c r="Z1129" s="1154"/>
      <c r="AA1129" s="1154"/>
      <c r="AB1129" s="1154"/>
      <c r="AC1129" s="1154"/>
      <c r="AD1129" s="1154"/>
      <c r="AE1129" s="1154"/>
      <c r="AF1129" s="1154"/>
      <c r="AG1129" s="1154"/>
      <c r="AH1129" s="1154"/>
      <c r="AI1129" s="1154"/>
      <c r="AJ1129" s="1154"/>
      <c r="AK1129" s="1154"/>
    </row>
    <row r="1130" spans="1:37" ht="12.95" hidden="1" customHeight="1">
      <c r="A1130" s="1"/>
      <c r="B1130" s="1"/>
      <c r="C1130" s="199"/>
      <c r="D1130" s="1154"/>
      <c r="E1130" s="1154"/>
      <c r="F1130" s="1154"/>
      <c r="G1130" s="1154"/>
      <c r="H1130" s="1154"/>
      <c r="I1130" s="1154"/>
      <c r="J1130" s="1154"/>
      <c r="K1130" s="1154"/>
      <c r="L1130" s="1154"/>
      <c r="M1130" s="1154"/>
      <c r="N1130" s="1154"/>
      <c r="O1130" s="1154"/>
      <c r="P1130" s="1154"/>
      <c r="Q1130" s="1154"/>
      <c r="R1130" s="1154"/>
      <c r="S1130" s="1154"/>
      <c r="T1130" s="1154"/>
      <c r="U1130" s="1154"/>
      <c r="V1130" s="1154"/>
      <c r="W1130" s="1154"/>
      <c r="X1130" s="1154"/>
      <c r="Y1130" s="1154"/>
      <c r="Z1130" s="1154"/>
      <c r="AA1130" s="1154"/>
      <c r="AB1130" s="1154"/>
      <c r="AC1130" s="1154"/>
      <c r="AD1130" s="1154"/>
      <c r="AE1130" s="1154"/>
      <c r="AF1130" s="1154"/>
      <c r="AG1130" s="1154"/>
      <c r="AH1130" s="1154"/>
      <c r="AI1130" s="1154"/>
      <c r="AJ1130" s="1154"/>
      <c r="AK1130" s="1154"/>
    </row>
    <row r="1131" spans="1:37" ht="12.95" hidden="1" customHeight="1">
      <c r="A1131" s="1"/>
      <c r="B1131" s="1"/>
      <c r="C1131" s="199"/>
      <c r="D1131" s="1154"/>
      <c r="E1131" s="1154"/>
      <c r="F1131" s="1154"/>
      <c r="G1131" s="1154"/>
      <c r="H1131" s="1154"/>
      <c r="I1131" s="1154"/>
      <c r="J1131" s="1154"/>
      <c r="K1131" s="1154"/>
      <c r="L1131" s="1154"/>
      <c r="M1131" s="1154"/>
      <c r="N1131" s="1154"/>
      <c r="O1131" s="1154"/>
      <c r="P1131" s="1154"/>
      <c r="Q1131" s="1154"/>
      <c r="R1131" s="1154"/>
      <c r="S1131" s="1154"/>
      <c r="T1131" s="1154"/>
      <c r="U1131" s="1154"/>
      <c r="V1131" s="1154"/>
      <c r="W1131" s="1154"/>
      <c r="X1131" s="1154"/>
      <c r="Y1131" s="1154"/>
      <c r="Z1131" s="1154"/>
      <c r="AA1131" s="1154"/>
      <c r="AB1131" s="1154"/>
      <c r="AC1131" s="1154"/>
      <c r="AD1131" s="1154"/>
      <c r="AE1131" s="1154"/>
      <c r="AF1131" s="1154"/>
      <c r="AG1131" s="1154"/>
      <c r="AH1131" s="1154"/>
      <c r="AI1131" s="1154"/>
      <c r="AJ1131" s="1154"/>
      <c r="AK1131" s="1154"/>
    </row>
    <row r="1132" spans="1:37" ht="0" hidden="1" customHeight="1">
      <c r="A1132" s="1"/>
      <c r="B1132" s="1"/>
      <c r="C1132" s="199"/>
      <c r="D1132" s="1154"/>
      <c r="E1132" s="1154"/>
      <c r="F1132" s="1154"/>
      <c r="G1132" s="1154"/>
      <c r="H1132" s="1154"/>
      <c r="I1132" s="1154"/>
      <c r="J1132" s="1154"/>
      <c r="K1132" s="1154"/>
      <c r="L1132" s="1154"/>
      <c r="M1132" s="1154"/>
      <c r="N1132" s="1154"/>
      <c r="O1132" s="1154"/>
      <c r="P1132" s="1154"/>
      <c r="Q1132" s="1154"/>
      <c r="R1132" s="1154"/>
      <c r="S1132" s="1154"/>
      <c r="T1132" s="1154"/>
      <c r="U1132" s="1154"/>
      <c r="V1132" s="1154"/>
      <c r="W1132" s="1154"/>
      <c r="X1132" s="1154"/>
      <c r="Y1132" s="1154"/>
      <c r="Z1132" s="1154"/>
      <c r="AA1132" s="1154"/>
      <c r="AB1132" s="1154"/>
      <c r="AC1132" s="1154"/>
      <c r="AD1132" s="1154"/>
      <c r="AE1132" s="1154"/>
      <c r="AF1132" s="1154"/>
      <c r="AG1132" s="1154"/>
      <c r="AH1132" s="1154"/>
      <c r="AI1132" s="1154"/>
      <c r="AJ1132" s="1154"/>
      <c r="AK1132" s="1154"/>
    </row>
    <row r="1133" spans="1:37" ht="0" hidden="1" customHeight="1">
      <c r="A1133" s="35"/>
      <c r="B1133" s="25"/>
      <c r="C1133" s="199"/>
      <c r="D1133" s="1154"/>
      <c r="E1133" s="1154"/>
      <c r="F1133" s="1154"/>
      <c r="G1133" s="1154"/>
      <c r="H1133" s="1154"/>
      <c r="I1133" s="1154"/>
      <c r="J1133" s="1154"/>
      <c r="K1133" s="1154"/>
      <c r="L1133" s="1154"/>
      <c r="M1133" s="1154"/>
      <c r="N1133" s="1154"/>
      <c r="O1133" s="1154"/>
      <c r="P1133" s="1154"/>
      <c r="Q1133" s="1154"/>
      <c r="R1133" s="1154"/>
      <c r="S1133" s="1154"/>
      <c r="T1133" s="1154"/>
      <c r="U1133" s="1154"/>
      <c r="V1133" s="1154"/>
      <c r="W1133" s="1154"/>
      <c r="X1133" s="1154"/>
      <c r="Y1133" s="1154"/>
      <c r="Z1133" s="1154"/>
      <c r="AA1133" s="1154"/>
      <c r="AB1133" s="1154"/>
      <c r="AC1133" s="1154"/>
      <c r="AD1133" s="1154"/>
      <c r="AE1133" s="1154"/>
      <c r="AF1133" s="1154"/>
      <c r="AG1133" s="1154"/>
      <c r="AH1133" s="1154"/>
      <c r="AI1133" s="1154"/>
      <c r="AJ1133" s="1154"/>
      <c r="AK1133" s="1154"/>
    </row>
    <row r="1134" spans="1:37" ht="0" hidden="1" customHeight="1">
      <c r="A1134" s="1324" t="s">
        <v>591</v>
      </c>
      <c r="B1134" s="1324"/>
      <c r="C1134" s="199">
        <v>9</v>
      </c>
      <c r="D1134" s="1480" t="s">
        <v>1074</v>
      </c>
      <c r="E1134" s="1480"/>
      <c r="F1134" s="1480"/>
      <c r="G1134" s="1480"/>
      <c r="H1134" s="1480"/>
      <c r="I1134" s="1480"/>
      <c r="J1134" s="1480"/>
      <c r="K1134" s="1480"/>
      <c r="L1134" s="1480"/>
      <c r="M1134" s="1480"/>
      <c r="N1134" s="1480"/>
      <c r="O1134" s="1480"/>
      <c r="P1134" s="1480"/>
      <c r="Q1134" s="1480"/>
      <c r="R1134" s="1480"/>
      <c r="S1134" s="1480"/>
      <c r="T1134" s="1480"/>
      <c r="U1134" s="1480"/>
      <c r="V1134" s="1480"/>
      <c r="W1134" s="1480"/>
      <c r="X1134" s="1480"/>
      <c r="Y1134" s="1480"/>
      <c r="Z1134" s="1480"/>
      <c r="AA1134" s="1480"/>
      <c r="AB1134" s="1480"/>
      <c r="AC1134" s="1480"/>
      <c r="AD1134" s="1480"/>
      <c r="AE1134" s="1480"/>
      <c r="AF1134" s="1480"/>
      <c r="AG1134" s="1480"/>
      <c r="AH1134" s="1480"/>
      <c r="AI1134" s="1480"/>
      <c r="AJ1134" s="1480"/>
      <c r="AK1134" s="1480"/>
    </row>
    <row r="1135" spans="1:37" ht="0" hidden="1" customHeight="1">
      <c r="A1135" s="35"/>
      <c r="B1135" s="25"/>
      <c r="C1135" s="199"/>
      <c r="D1135" s="1480"/>
      <c r="E1135" s="1480"/>
      <c r="F1135" s="1480"/>
      <c r="G1135" s="1480"/>
      <c r="H1135" s="1480"/>
      <c r="I1135" s="1480"/>
      <c r="J1135" s="1480"/>
      <c r="K1135" s="1480"/>
      <c r="L1135" s="1480"/>
      <c r="M1135" s="1480"/>
      <c r="N1135" s="1480"/>
      <c r="O1135" s="1480"/>
      <c r="P1135" s="1480"/>
      <c r="Q1135" s="1480"/>
      <c r="R1135" s="1480"/>
      <c r="S1135" s="1480"/>
      <c r="T1135" s="1480"/>
      <c r="U1135" s="1480"/>
      <c r="V1135" s="1480"/>
      <c r="W1135" s="1480"/>
      <c r="X1135" s="1480"/>
      <c r="Y1135" s="1480"/>
      <c r="Z1135" s="1480"/>
      <c r="AA1135" s="1480"/>
      <c r="AB1135" s="1480"/>
      <c r="AC1135" s="1480"/>
      <c r="AD1135" s="1480"/>
      <c r="AE1135" s="1480"/>
      <c r="AF1135" s="1480"/>
      <c r="AG1135" s="1480"/>
      <c r="AH1135" s="1480"/>
      <c r="AI1135" s="1480"/>
      <c r="AJ1135" s="1480"/>
      <c r="AK1135" s="1480"/>
    </row>
    <row r="1136" spans="1:37" ht="0" hidden="1" customHeight="1">
      <c r="D1136" s="1480"/>
      <c r="E1136" s="1480"/>
      <c r="F1136" s="1480"/>
      <c r="G1136" s="1480"/>
      <c r="H1136" s="1480"/>
      <c r="I1136" s="1480"/>
      <c r="J1136" s="1480"/>
      <c r="K1136" s="1480"/>
      <c r="L1136" s="1480"/>
      <c r="M1136" s="1480"/>
      <c r="N1136" s="1480"/>
      <c r="O1136" s="1480"/>
      <c r="P1136" s="1480"/>
      <c r="Q1136" s="1480"/>
      <c r="R1136" s="1480"/>
      <c r="S1136" s="1480"/>
      <c r="T1136" s="1480"/>
      <c r="U1136" s="1480"/>
      <c r="V1136" s="1480"/>
      <c r="W1136" s="1480"/>
      <c r="X1136" s="1480"/>
      <c r="Y1136" s="1480"/>
      <c r="Z1136" s="1480"/>
      <c r="AA1136" s="1480"/>
      <c r="AB1136" s="1480"/>
      <c r="AC1136" s="1480"/>
      <c r="AD1136" s="1480"/>
      <c r="AE1136" s="1480"/>
      <c r="AF1136" s="1480"/>
      <c r="AG1136" s="1480"/>
      <c r="AH1136" s="1480"/>
      <c r="AI1136" s="1480"/>
      <c r="AJ1136" s="1480"/>
      <c r="AK1136" s="1480"/>
    </row>
    <row r="1146" ht="15" hidden="1" customHeight="1"/>
    <row r="2026" ht="9.9499999999999993" hidden="1" customHeight="1"/>
  </sheetData>
  <sheetProtection algorithmName="SHA-512" hashValue="FqKpsPxpB3y1KgSIoOF0HdRAgB534xvMWpqLytXOzyD7ctA+IjA9Mc+HV7ZElnR66uXC5vy0JeD80gLxTdgb3Q==" saltValue="yVCVQMoo2WP31ecsqf278g=="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86">
    <mergeCell ref="A1112:B1112"/>
    <mergeCell ref="C1112:D1112"/>
    <mergeCell ref="E1112:AR1113"/>
    <mergeCell ref="C1101:D1101"/>
    <mergeCell ref="C1102:D1102"/>
    <mergeCell ref="C1103:D1103"/>
    <mergeCell ref="C1104:D1104"/>
    <mergeCell ref="C1105:D1105"/>
    <mergeCell ref="C1106:D1106"/>
    <mergeCell ref="C1107:D1107"/>
    <mergeCell ref="C1108:D1108"/>
    <mergeCell ref="C1109:D1109"/>
    <mergeCell ref="E1076:AR1077"/>
    <mergeCell ref="E1079:AR1082"/>
    <mergeCell ref="E1084:AR1088"/>
    <mergeCell ref="E1090:AR1092"/>
    <mergeCell ref="E1094:AR1096"/>
    <mergeCell ref="E1098:AR1100"/>
    <mergeCell ref="E1103:AR1104"/>
    <mergeCell ref="E1106:AR1107"/>
    <mergeCell ref="E1109:AR1110"/>
    <mergeCell ref="C1086:D1086"/>
    <mergeCell ref="C1087:D1087"/>
    <mergeCell ref="C1088:D1088"/>
    <mergeCell ref="C1089:D1089"/>
    <mergeCell ref="C1090:D1090"/>
    <mergeCell ref="C1091:D1091"/>
    <mergeCell ref="C1092:D1092"/>
    <mergeCell ref="C1093:D1093"/>
    <mergeCell ref="C1094:D1094"/>
    <mergeCell ref="C1096:D1096"/>
    <mergeCell ref="C1097:D1097"/>
    <mergeCell ref="C1099:D1099"/>
    <mergeCell ref="C1100:D1100"/>
    <mergeCell ref="A1074:B1074"/>
    <mergeCell ref="A1076:B1076"/>
    <mergeCell ref="C1074:D1074"/>
    <mergeCell ref="C1075:D1075"/>
    <mergeCell ref="C1076:D1076"/>
    <mergeCell ref="C1077:D1077"/>
    <mergeCell ref="C1078:D1078"/>
    <mergeCell ref="C1079:D1079"/>
    <mergeCell ref="C1080:D1080"/>
    <mergeCell ref="C1081:D1081"/>
    <mergeCell ref="C1082:D1082"/>
    <mergeCell ref="C1083:D1083"/>
    <mergeCell ref="C1084:D1084"/>
    <mergeCell ref="C1085:D1085"/>
    <mergeCell ref="A1098:B1098"/>
    <mergeCell ref="A1094:B1094"/>
    <mergeCell ref="A1090:B1090"/>
    <mergeCell ref="A1084:B1084"/>
    <mergeCell ref="A1079:B1079"/>
    <mergeCell ref="C1098:D1098"/>
    <mergeCell ref="A1070:AQ1070"/>
    <mergeCell ref="AF1026:AI1028"/>
    <mergeCell ref="AF1023:AI1024"/>
    <mergeCell ref="C765:AM766"/>
    <mergeCell ref="G750:J750"/>
    <mergeCell ref="G751:J751"/>
    <mergeCell ref="G752:J752"/>
    <mergeCell ref="G753:J753"/>
    <mergeCell ref="G754:J754"/>
    <mergeCell ref="G755:J755"/>
    <mergeCell ref="G756:J756"/>
    <mergeCell ref="G757:J757"/>
    <mergeCell ref="G758:J758"/>
    <mergeCell ref="G759:J759"/>
    <mergeCell ref="K750:N750"/>
    <mergeCell ref="B752:F752"/>
    <mergeCell ref="B753:F753"/>
    <mergeCell ref="AJ1054:AQ1057"/>
    <mergeCell ref="AJ1058:AQ1061"/>
    <mergeCell ref="U938:Z938"/>
    <mergeCell ref="B754:F754"/>
    <mergeCell ref="B755:F755"/>
    <mergeCell ref="B756:F756"/>
    <mergeCell ref="M980:S980"/>
    <mergeCell ref="M965:S965"/>
    <mergeCell ref="AB966:AK966"/>
    <mergeCell ref="AA979:AG979"/>
    <mergeCell ref="AF1032:AI1033"/>
    <mergeCell ref="M979:S979"/>
    <mergeCell ref="AA980:AG980"/>
    <mergeCell ref="T981:Z981"/>
    <mergeCell ref="M984:S984"/>
    <mergeCell ref="AB996:AI996"/>
    <mergeCell ref="D996:Q996"/>
    <mergeCell ref="R998:AA998"/>
    <mergeCell ref="AJ998:AQ998"/>
    <mergeCell ref="J1033:AE1033"/>
    <mergeCell ref="AJ1001:AQ1001"/>
    <mergeCell ref="AJ1002:AQ1002"/>
    <mergeCell ref="A21:AL21"/>
    <mergeCell ref="M27:Q27"/>
    <mergeCell ref="A13:AT14"/>
    <mergeCell ref="T745:W745"/>
    <mergeCell ref="X747:AB747"/>
    <mergeCell ref="G748:J748"/>
    <mergeCell ref="T741:W741"/>
    <mergeCell ref="O742:S742"/>
    <mergeCell ref="K747:N747"/>
    <mergeCell ref="AC742:AG742"/>
    <mergeCell ref="AC743:AG743"/>
    <mergeCell ref="B757:F757"/>
    <mergeCell ref="B758:F758"/>
    <mergeCell ref="T758:W758"/>
    <mergeCell ref="AE971:AK971"/>
    <mergeCell ref="M970:S970"/>
    <mergeCell ref="AK757:AO757"/>
    <mergeCell ref="AK759:AO759"/>
    <mergeCell ref="B722:F725"/>
    <mergeCell ref="G737:J737"/>
    <mergeCell ref="B734:F734"/>
    <mergeCell ref="B748:F748"/>
    <mergeCell ref="AH745:AJ745"/>
    <mergeCell ref="AH746:AJ746"/>
    <mergeCell ref="AH744:AJ744"/>
    <mergeCell ref="D994:Q994"/>
    <mergeCell ref="AB994:AI994"/>
    <mergeCell ref="AK641:AN641"/>
    <mergeCell ref="G663:L663"/>
    <mergeCell ref="H664:R664"/>
    <mergeCell ref="AC741:AG741"/>
    <mergeCell ref="AG657:AH657"/>
    <mergeCell ref="H696:R696"/>
    <mergeCell ref="X739:AB739"/>
    <mergeCell ref="AH740:AJ740"/>
    <mergeCell ref="G746:J746"/>
    <mergeCell ref="G736:J736"/>
    <mergeCell ref="O745:S745"/>
    <mergeCell ref="O746:S746"/>
    <mergeCell ref="T747:W747"/>
    <mergeCell ref="AK738:AO738"/>
    <mergeCell ref="AC732:AG732"/>
    <mergeCell ref="AC738:AG738"/>
    <mergeCell ref="AG764:AJ764"/>
    <mergeCell ref="AE707:AI707"/>
    <mergeCell ref="C642:L642"/>
    <mergeCell ref="M981:S981"/>
    <mergeCell ref="O784:S784"/>
    <mergeCell ref="O777:S780"/>
    <mergeCell ref="O799:S799"/>
    <mergeCell ref="K748:N748"/>
    <mergeCell ref="AC746:AG746"/>
    <mergeCell ref="G747:J747"/>
    <mergeCell ref="X749:AB749"/>
    <mergeCell ref="J796:N796"/>
    <mergeCell ref="G653:R653"/>
    <mergeCell ref="H680:R680"/>
    <mergeCell ref="T742:W742"/>
    <mergeCell ref="AO638:AS638"/>
    <mergeCell ref="Z609:AK609"/>
    <mergeCell ref="Q640:S640"/>
    <mergeCell ref="Q632:S634"/>
    <mergeCell ref="M573:P573"/>
    <mergeCell ref="AO645:AS645"/>
    <mergeCell ref="T744:W744"/>
    <mergeCell ref="G667:R667"/>
    <mergeCell ref="P679:R679"/>
    <mergeCell ref="Q639:S639"/>
    <mergeCell ref="T640:V640"/>
    <mergeCell ref="Z619:AK619"/>
    <mergeCell ref="AK635:AN635"/>
    <mergeCell ref="AM573:AS573"/>
    <mergeCell ref="G659:R659"/>
    <mergeCell ref="G660:R660"/>
    <mergeCell ref="J712:X712"/>
    <mergeCell ref="T722:W725"/>
    <mergeCell ref="AA656:AK656"/>
    <mergeCell ref="AK645:AN645"/>
    <mergeCell ref="H672:R672"/>
    <mergeCell ref="G686:R686"/>
    <mergeCell ref="P687:R687"/>
    <mergeCell ref="G744:J744"/>
    <mergeCell ref="AI621:AK621"/>
    <mergeCell ref="AA622:AK622"/>
    <mergeCell ref="AC632:AE634"/>
    <mergeCell ref="AH517:AK517"/>
    <mergeCell ref="AM566:AS566"/>
    <mergeCell ref="Z589:AE589"/>
    <mergeCell ref="Z594:AK594"/>
    <mergeCell ref="AC525:AF525"/>
    <mergeCell ref="AC512:AF512"/>
    <mergeCell ref="AE565:AH565"/>
    <mergeCell ref="Q638:S638"/>
    <mergeCell ref="AH509:AK509"/>
    <mergeCell ref="G482:V482"/>
    <mergeCell ref="AH534:AK534"/>
    <mergeCell ref="M569:P569"/>
    <mergeCell ref="C573:L573"/>
    <mergeCell ref="W566:Y566"/>
    <mergeCell ref="AE566:AH566"/>
    <mergeCell ref="C565:L565"/>
    <mergeCell ref="G601:R601"/>
    <mergeCell ref="AI605:AK605"/>
    <mergeCell ref="A625:AT626"/>
    <mergeCell ref="B632:L634"/>
    <mergeCell ref="AE571:AH571"/>
    <mergeCell ref="AM571:AS571"/>
    <mergeCell ref="AO636:AS636"/>
    <mergeCell ref="AG615:AH615"/>
    <mergeCell ref="AO632:AS634"/>
    <mergeCell ref="AC638:AE638"/>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K636:AN636"/>
    <mergeCell ref="A69:AT70"/>
    <mergeCell ref="A72:AT73"/>
    <mergeCell ref="A552:AT553"/>
    <mergeCell ref="A488:AT489"/>
    <mergeCell ref="A360:AT361"/>
    <mergeCell ref="I401:N401"/>
    <mergeCell ref="M366:N366"/>
    <mergeCell ref="J394:U394"/>
    <mergeCell ref="Q643:S643"/>
    <mergeCell ref="Z601:AK601"/>
    <mergeCell ref="AK637:AN637"/>
    <mergeCell ref="C641:L641"/>
    <mergeCell ref="AI340:AK340"/>
    <mergeCell ref="Z632:AB634"/>
    <mergeCell ref="P621:R621"/>
    <mergeCell ref="W640:Y640"/>
    <mergeCell ref="Q635:S635"/>
    <mergeCell ref="Q636:S636"/>
    <mergeCell ref="Q637:S637"/>
    <mergeCell ref="Z635:AB635"/>
    <mergeCell ref="W642:Y642"/>
    <mergeCell ref="AI589:AK589"/>
    <mergeCell ref="W479:Y479"/>
    <mergeCell ref="AI567:AL567"/>
    <mergeCell ref="AC526:AF526"/>
    <mergeCell ref="AH512:AK512"/>
    <mergeCell ref="AI564:AL564"/>
    <mergeCell ref="T565:V565"/>
    <mergeCell ref="W564:Y564"/>
    <mergeCell ref="Q564:S564"/>
    <mergeCell ref="M562:P562"/>
    <mergeCell ref="EM644:EQ644"/>
    <mergeCell ref="DX645:EB645"/>
    <mergeCell ref="AC641:AE641"/>
    <mergeCell ref="B647:AN647"/>
    <mergeCell ref="B648:AN648"/>
    <mergeCell ref="B727:F727"/>
    <mergeCell ref="V390:W390"/>
    <mergeCell ref="T563:V563"/>
    <mergeCell ref="W567:Y567"/>
    <mergeCell ref="Z654:AK654"/>
    <mergeCell ref="G588:R588"/>
    <mergeCell ref="W639:Y639"/>
    <mergeCell ref="AG623:AH623"/>
    <mergeCell ref="G620:R620"/>
    <mergeCell ref="Q644:S644"/>
    <mergeCell ref="Q645:S645"/>
    <mergeCell ref="C644:L644"/>
    <mergeCell ref="N673:O673"/>
    <mergeCell ref="G619:R619"/>
    <mergeCell ref="Z610:AK610"/>
    <mergeCell ref="Z620:AK620"/>
    <mergeCell ref="AC635:AE635"/>
    <mergeCell ref="AA664:AK664"/>
    <mergeCell ref="P430:R430"/>
    <mergeCell ref="Q398:U398"/>
    <mergeCell ref="AM572:AS572"/>
    <mergeCell ref="AM574:AS574"/>
    <mergeCell ref="D453:AF453"/>
    <mergeCell ref="R420:S420"/>
    <mergeCell ref="W473:Y473"/>
    <mergeCell ref="C646:L646"/>
    <mergeCell ref="Z694:AK694"/>
    <mergeCell ref="EJ747:EN747"/>
    <mergeCell ref="DJ746:DN746"/>
    <mergeCell ref="EO745:ES745"/>
    <mergeCell ref="EO748:ES748"/>
    <mergeCell ref="DZ729:ED729"/>
    <mergeCell ref="DZ730:ED730"/>
    <mergeCell ref="DU725:DY725"/>
    <mergeCell ref="DU747:DY747"/>
    <mergeCell ref="DZ747:ED747"/>
    <mergeCell ref="DO733:DS733"/>
    <mergeCell ref="ET744:EX744"/>
    <mergeCell ref="EJ748:EN748"/>
    <mergeCell ref="EJ735:EN735"/>
    <mergeCell ref="EO737:ES737"/>
    <mergeCell ref="EJ743:EN743"/>
    <mergeCell ref="EO743:ES743"/>
    <mergeCell ref="DZ743:ED743"/>
    <mergeCell ref="ET745:EX745"/>
    <mergeCell ref="DJ728:DN728"/>
    <mergeCell ref="DJ725:DN725"/>
    <mergeCell ref="DJ730:DN730"/>
    <mergeCell ref="CP803:CT803"/>
    <mergeCell ref="CP804:CT804"/>
    <mergeCell ref="CP801:CT801"/>
    <mergeCell ref="CP800:CT800"/>
    <mergeCell ref="CP799:CT799"/>
    <mergeCell ref="CP798:CT798"/>
    <mergeCell ref="CZ761:DD761"/>
    <mergeCell ref="DJ783:DN783"/>
    <mergeCell ref="CU747:CY747"/>
    <mergeCell ref="DJ742:DN742"/>
    <mergeCell ref="CP797:CT797"/>
    <mergeCell ref="CP795:CT795"/>
    <mergeCell ref="CP761:CT761"/>
    <mergeCell ref="DO747:DS747"/>
    <mergeCell ref="DJ750:DN750"/>
    <mergeCell ref="DU758:DY758"/>
    <mergeCell ref="DO760:DS760"/>
    <mergeCell ref="DE759:DI759"/>
    <mergeCell ref="DE746:DI746"/>
    <mergeCell ref="DU745:DY745"/>
    <mergeCell ref="DU743:DY743"/>
    <mergeCell ref="DO745:DS745"/>
    <mergeCell ref="CU744:CY744"/>
    <mergeCell ref="CP757:CT757"/>
    <mergeCell ref="CU757:CY757"/>
    <mergeCell ref="DJ759:DN759"/>
    <mergeCell ref="CP785:CT785"/>
    <mergeCell ref="CP781:CT781"/>
    <mergeCell ref="CU760:CY760"/>
    <mergeCell ref="CZ753:DD753"/>
    <mergeCell ref="DE753:DI753"/>
    <mergeCell ref="EM649:EQ649"/>
    <mergeCell ref="ER663:EV663"/>
    <mergeCell ref="EH656:EL656"/>
    <mergeCell ref="EH659:EL659"/>
    <mergeCell ref="EH658:EL658"/>
    <mergeCell ref="AK744:AO744"/>
    <mergeCell ref="EO744:ES744"/>
    <mergeCell ref="CI738:CJ738"/>
    <mergeCell ref="DO743:DS743"/>
    <mergeCell ref="DO744:DS744"/>
    <mergeCell ref="CI744:CJ744"/>
    <mergeCell ref="CZ745:DD745"/>
    <mergeCell ref="DE741:DI741"/>
    <mergeCell ref="CU743:CY743"/>
    <mergeCell ref="CZ759:DD759"/>
    <mergeCell ref="CI759:CJ759"/>
    <mergeCell ref="CP743:CT743"/>
    <mergeCell ref="DJ744:DN744"/>
    <mergeCell ref="DE744:DI744"/>
    <mergeCell ref="CM748:CN748"/>
    <mergeCell ref="EM656:EQ656"/>
    <mergeCell ref="EH663:EL663"/>
    <mergeCell ref="EM663:EQ663"/>
    <mergeCell ref="DU726:DY726"/>
    <mergeCell ref="DU729:DY729"/>
    <mergeCell ref="EE729:EI729"/>
    <mergeCell ref="EJ729:EN729"/>
    <mergeCell ref="CK753:CL753"/>
    <mergeCell ref="EJ745:EN745"/>
    <mergeCell ref="DZ744:ED744"/>
    <mergeCell ref="EE744:EI744"/>
    <mergeCell ref="EJ744:EN744"/>
    <mergeCell ref="DZ745:ED745"/>
    <mergeCell ref="EE761:EI761"/>
    <mergeCell ref="DJ784:DN784"/>
    <mergeCell ref="DO784:DS784"/>
    <mergeCell ref="DO783:DS783"/>
    <mergeCell ref="DJ761:DN761"/>
    <mergeCell ref="DE748:DI748"/>
    <mergeCell ref="DU748:DY748"/>
    <mergeCell ref="DZ748:ED748"/>
    <mergeCell ref="EE748:EI748"/>
    <mergeCell ref="CU783:CY783"/>
    <mergeCell ref="EE753:EI753"/>
    <mergeCell ref="DU757:DY757"/>
    <mergeCell ref="DZ757:ED757"/>
    <mergeCell ref="DO754:DS754"/>
    <mergeCell ref="CZ754:DD754"/>
    <mergeCell ref="EE745:EI745"/>
    <mergeCell ref="DE784:DI784"/>
    <mergeCell ref="DJ754:DN754"/>
    <mergeCell ref="DE758:DI758"/>
    <mergeCell ref="DJ758:DN758"/>
    <mergeCell ref="DO782:DS782"/>
    <mergeCell ref="DU761:DY761"/>
    <mergeCell ref="DZ758:ED758"/>
    <mergeCell ref="CZ783:DD783"/>
    <mergeCell ref="CZ784:DD784"/>
    <mergeCell ref="DO751:DS751"/>
    <mergeCell ref="DO752:DS752"/>
    <mergeCell ref="T632:V634"/>
    <mergeCell ref="ET759:EX759"/>
    <mergeCell ref="EJ759:EN759"/>
    <mergeCell ref="EO747:ES747"/>
    <mergeCell ref="ET747:EX747"/>
    <mergeCell ref="DJ781:DN781"/>
    <mergeCell ref="DJ785:DN785"/>
    <mergeCell ref="CZ782:DD782"/>
    <mergeCell ref="AO642:AS642"/>
    <mergeCell ref="CZ781:DD781"/>
    <mergeCell ref="DJ782:DN782"/>
    <mergeCell ref="AF643:AJ643"/>
    <mergeCell ref="AO643:AS643"/>
    <mergeCell ref="EZ741:FD741"/>
    <mergeCell ref="ET748:EX748"/>
    <mergeCell ref="Z644:AB644"/>
    <mergeCell ref="Z645:AB645"/>
    <mergeCell ref="Z646:AB646"/>
    <mergeCell ref="W635:Y635"/>
    <mergeCell ref="T635:V635"/>
    <mergeCell ref="AO635:AS635"/>
    <mergeCell ref="EO760:ES760"/>
    <mergeCell ref="EJ760:EN760"/>
    <mergeCell ref="ET746:EX746"/>
    <mergeCell ref="DO748:DS748"/>
    <mergeCell ref="DJ748:DN748"/>
    <mergeCell ref="DO762:DS762"/>
    <mergeCell ref="DE761:DI761"/>
    <mergeCell ref="DO759:DS759"/>
    <mergeCell ref="CI761:CJ761"/>
    <mergeCell ref="CU781:CY781"/>
    <mergeCell ref="CP746:CT746"/>
    <mergeCell ref="EO753:ES753"/>
    <mergeCell ref="DE752:DI752"/>
    <mergeCell ref="DZ761:ED761"/>
    <mergeCell ref="DZ746:ED746"/>
    <mergeCell ref="EE746:EI746"/>
    <mergeCell ref="EJ746:EN746"/>
    <mergeCell ref="DO746:DS746"/>
    <mergeCell ref="EM661:EQ661"/>
    <mergeCell ref="ER661:EV661"/>
    <mergeCell ref="EW663:FA663"/>
    <mergeCell ref="DO785:DS785"/>
    <mergeCell ref="DE781:DI781"/>
    <mergeCell ref="CZ785:DD785"/>
    <mergeCell ref="DE785:DI785"/>
    <mergeCell ref="DE783:DI783"/>
    <mergeCell ref="EE759:EI759"/>
    <mergeCell ref="DU759:DY759"/>
    <mergeCell ref="DZ759:ED759"/>
    <mergeCell ref="DU760:DY760"/>
    <mergeCell ref="DZ760:ED760"/>
    <mergeCell ref="DJ760:DN760"/>
    <mergeCell ref="EZ761:FD761"/>
    <mergeCell ref="DE782:DI782"/>
    <mergeCell ref="ER665:EV665"/>
    <mergeCell ref="EW665:FA665"/>
    <mergeCell ref="EH667:EL667"/>
    <mergeCell ref="EC669:EG669"/>
    <mergeCell ref="EH669:EL669"/>
    <mergeCell ref="EZ760:FD760"/>
    <mergeCell ref="EE747:EI747"/>
    <mergeCell ref="DO761:DS761"/>
    <mergeCell ref="ET739:EX739"/>
    <mergeCell ref="EJ761:EN761"/>
    <mergeCell ref="EW668:FA668"/>
    <mergeCell ref="DX669:EB669"/>
    <mergeCell ref="DX653:EB653"/>
    <mergeCell ref="EW649:FA649"/>
    <mergeCell ref="EW674:FA674"/>
    <mergeCell ref="EW662:FA662"/>
    <mergeCell ref="DX655:EB655"/>
    <mergeCell ref="ER669:EV669"/>
    <mergeCell ref="EO746:ES746"/>
    <mergeCell ref="EM657:EQ657"/>
    <mergeCell ref="EM662:EQ662"/>
    <mergeCell ref="ER662:EV662"/>
    <mergeCell ref="EM660:EQ660"/>
    <mergeCell ref="DX658:EB658"/>
    <mergeCell ref="EC658:EG658"/>
    <mergeCell ref="EC663:EG663"/>
    <mergeCell ref="DX675:EB675"/>
    <mergeCell ref="EW669:FA669"/>
    <mergeCell ref="EM670:EQ670"/>
    <mergeCell ref="ER670:EV670"/>
    <mergeCell ref="DU735:DY735"/>
    <mergeCell ref="EE760:EI760"/>
    <mergeCell ref="DU746:DY746"/>
    <mergeCell ref="EO761:ES761"/>
    <mergeCell ref="ER657:EV657"/>
    <mergeCell ref="EW666:FA666"/>
    <mergeCell ref="EC652:EG652"/>
    <mergeCell ref="EH652:EL652"/>
    <mergeCell ref="EH654:EL654"/>
    <mergeCell ref="EM675:EQ675"/>
    <mergeCell ref="ER675:EV675"/>
    <mergeCell ref="DO739:DS739"/>
    <mergeCell ref="DO735:DS735"/>
    <mergeCell ref="DO736:DS736"/>
    <mergeCell ref="DO731:DS731"/>
    <mergeCell ref="DO732:DS732"/>
    <mergeCell ref="DO740:DS740"/>
    <mergeCell ref="DU730:DY730"/>
    <mergeCell ref="DO728:DS728"/>
    <mergeCell ref="DO730:DS730"/>
    <mergeCell ref="EJ733:EN733"/>
    <mergeCell ref="ET731:EX731"/>
    <mergeCell ref="DU733:DY733"/>
    <mergeCell ref="DZ733:ED733"/>
    <mergeCell ref="DU731:DY731"/>
    <mergeCell ref="DZ731:ED731"/>
    <mergeCell ref="EE727:EI727"/>
    <mergeCell ref="DZ728:ED728"/>
    <mergeCell ref="EJ727:EN727"/>
    <mergeCell ref="EO728:ES728"/>
    <mergeCell ref="DZ738:ED738"/>
    <mergeCell ref="EE738:EI738"/>
    <mergeCell ref="EJ738:EN738"/>
    <mergeCell ref="DU737:DY737"/>
    <mergeCell ref="DZ732:ED732"/>
    <mergeCell ref="EJ737:EN737"/>
    <mergeCell ref="EO740:ES740"/>
    <mergeCell ref="ET737:EX737"/>
    <mergeCell ref="ER647:EV647"/>
    <mergeCell ref="DX652:EB652"/>
    <mergeCell ref="DX650:EB650"/>
    <mergeCell ref="ER659:EV659"/>
    <mergeCell ref="ER660:EV660"/>
    <mergeCell ref="DZ741:ED741"/>
    <mergeCell ref="DX670:EB670"/>
    <mergeCell ref="EC670:EG670"/>
    <mergeCell ref="EH670:EL670"/>
    <mergeCell ref="DX667:EB667"/>
    <mergeCell ref="ER668:EV668"/>
    <mergeCell ref="EH674:EL674"/>
    <mergeCell ref="EC662:EG662"/>
    <mergeCell ref="EH662:EL662"/>
    <mergeCell ref="EH676:EL676"/>
    <mergeCell ref="DX665:EB665"/>
    <mergeCell ref="EC665:EG665"/>
    <mergeCell ref="EH665:EL665"/>
    <mergeCell ref="EM665:EQ665"/>
    <mergeCell ref="ET725:EX725"/>
    <mergeCell ref="EE737:EI737"/>
    <mergeCell ref="ER677:EV677"/>
    <mergeCell ref="ER676:EV676"/>
    <mergeCell ref="EW676:FA676"/>
    <mergeCell ref="EW672:FA672"/>
    <mergeCell ref="EW659:FA659"/>
    <mergeCell ref="EW657:FA657"/>
    <mergeCell ref="DX657:EB657"/>
    <mergeCell ref="EH650:EL650"/>
    <mergeCell ref="EM650:EQ650"/>
    <mergeCell ref="ER650:EV650"/>
    <mergeCell ref="DX649:EB649"/>
    <mergeCell ref="FJ728:FN728"/>
    <mergeCell ref="FO728:FS728"/>
    <mergeCell ref="EZ725:FD725"/>
    <mergeCell ref="FE725:FI725"/>
    <mergeCell ref="FJ725:FN725"/>
    <mergeCell ref="FO725:FS725"/>
    <mergeCell ref="EW678:FA678"/>
    <mergeCell ref="EW664:FA664"/>
    <mergeCell ref="ER658:EV658"/>
    <mergeCell ref="EM658:EQ658"/>
    <mergeCell ref="DX661:EB661"/>
    <mergeCell ref="EC661:EG661"/>
    <mergeCell ref="DX662:EB662"/>
    <mergeCell ref="DX659:EB659"/>
    <mergeCell ref="EC659:EG659"/>
    <mergeCell ref="EM676:EQ676"/>
    <mergeCell ref="DX678:EB678"/>
    <mergeCell ref="EM672:EQ672"/>
    <mergeCell ref="ER672:EV672"/>
    <mergeCell ref="EC675:EG675"/>
    <mergeCell ref="EH675:EL675"/>
    <mergeCell ref="EM674:EQ674"/>
    <mergeCell ref="EW660:FA660"/>
    <mergeCell ref="EM669:EQ669"/>
    <mergeCell ref="ER674:EV674"/>
    <mergeCell ref="DX663:EB663"/>
    <mergeCell ref="DX664:EB664"/>
    <mergeCell ref="EC664:EG664"/>
    <mergeCell ref="EH664:EL664"/>
    <mergeCell ref="EM664:EQ664"/>
    <mergeCell ref="ET726:EX726"/>
    <mergeCell ref="EZ728:FD728"/>
    <mergeCell ref="EW645:FA645"/>
    <mergeCell ref="EC653:EG653"/>
    <mergeCell ref="ER653:EV653"/>
    <mergeCell ref="EW653:FA653"/>
    <mergeCell ref="EM645:EQ645"/>
    <mergeCell ref="EM652:EQ652"/>
    <mergeCell ref="ER652:EV652"/>
    <mergeCell ref="EM654:EQ654"/>
    <mergeCell ref="EW650:FA650"/>
    <mergeCell ref="EW651:FA651"/>
    <mergeCell ref="EC657:EG657"/>
    <mergeCell ref="EC647:EG647"/>
    <mergeCell ref="EH647:EL647"/>
    <mergeCell ref="EM647:EQ647"/>
    <mergeCell ref="ER654:EV654"/>
    <mergeCell ref="EW654:FA654"/>
    <mergeCell ref="EW661:FA661"/>
    <mergeCell ref="EH657:EL657"/>
    <mergeCell ref="EM659:EQ659"/>
    <mergeCell ref="EH655:EL655"/>
    <mergeCell ref="EM655:EQ655"/>
    <mergeCell ref="EH651:EL651"/>
    <mergeCell ref="EM651:EQ651"/>
    <mergeCell ref="EC656:EG656"/>
    <mergeCell ref="EW647:FA647"/>
    <mergeCell ref="EC648:EG648"/>
    <mergeCell ref="EW648:FA648"/>
    <mergeCell ref="ER651:EV651"/>
    <mergeCell ref="ER648:EV648"/>
    <mergeCell ref="EW655:FA655"/>
    <mergeCell ref="EW658:FA658"/>
    <mergeCell ref="EW656:FA656"/>
    <mergeCell ref="EM678:EQ678"/>
    <mergeCell ref="EE734:EI734"/>
    <mergeCell ref="EJ734:EN734"/>
    <mergeCell ref="EH661:EL661"/>
    <mergeCell ref="ER678:EV678"/>
    <mergeCell ref="DX677:EB677"/>
    <mergeCell ref="EC678:EG678"/>
    <mergeCell ref="EH678:EL678"/>
    <mergeCell ref="ER664:EV664"/>
    <mergeCell ref="EC677:EG677"/>
    <mergeCell ref="EH677:EL677"/>
    <mergeCell ref="EM677:EQ677"/>
    <mergeCell ref="DX672:EB672"/>
    <mergeCell ref="EO731:ES731"/>
    <mergeCell ref="EO729:ES729"/>
    <mergeCell ref="ET733:EX733"/>
    <mergeCell ref="DU732:DY732"/>
    <mergeCell ref="DZ727:ED727"/>
    <mergeCell ref="EC673:EG673"/>
    <mergeCell ref="EH673:EL673"/>
    <mergeCell ref="EM673:EQ673"/>
    <mergeCell ref="ER673:EV673"/>
    <mergeCell ref="EW673:FA673"/>
    <mergeCell ref="ER667:EV667"/>
    <mergeCell ref="EW667:FA667"/>
    <mergeCell ref="DX668:EB668"/>
    <mergeCell ref="EW677:FA677"/>
    <mergeCell ref="EZ734:FD734"/>
    <mergeCell ref="DZ726:ED726"/>
    <mergeCell ref="EE726:EI726"/>
    <mergeCell ref="EJ725:EN725"/>
    <mergeCell ref="EW646:FA646"/>
    <mergeCell ref="ER656:EV656"/>
    <mergeCell ref="ER655:EV655"/>
    <mergeCell ref="EH653:EL653"/>
    <mergeCell ref="EM653:EQ653"/>
    <mergeCell ref="EH648:EL648"/>
    <mergeCell ref="EM648:EQ648"/>
    <mergeCell ref="DX647:EB647"/>
    <mergeCell ref="EO727:ES727"/>
    <mergeCell ref="ET727:EX727"/>
    <mergeCell ref="EJ730:EN730"/>
    <mergeCell ref="DZ725:ED725"/>
    <mergeCell ref="EJ726:EN726"/>
    <mergeCell ref="EH672:EL672"/>
    <mergeCell ref="DX674:EB674"/>
    <mergeCell ref="EC674:EG674"/>
    <mergeCell ref="EH668:EL668"/>
    <mergeCell ref="EM668:EQ668"/>
    <mergeCell ref="DX673:EB673"/>
    <mergeCell ref="DX651:EB651"/>
    <mergeCell ref="DX648:EB648"/>
    <mergeCell ref="DX660:EB660"/>
    <mergeCell ref="EC660:EG660"/>
    <mergeCell ref="EC655:EG655"/>
    <mergeCell ref="ER649:EV649"/>
    <mergeCell ref="EH649:EL649"/>
    <mergeCell ref="EW652:FA652"/>
    <mergeCell ref="DU727:DY727"/>
    <mergeCell ref="EE725:EI725"/>
    <mergeCell ref="EJ728:EN728"/>
    <mergeCell ref="EO730:ES730"/>
    <mergeCell ref="EO725:ES725"/>
    <mergeCell ref="FJ729:FN729"/>
    <mergeCell ref="FO729:FS729"/>
    <mergeCell ref="EO726:ES726"/>
    <mergeCell ref="DU728:DY728"/>
    <mergeCell ref="EZ735:FD735"/>
    <mergeCell ref="EZ739:FD739"/>
    <mergeCell ref="FE739:FI739"/>
    <mergeCell ref="FJ739:FN739"/>
    <mergeCell ref="FO739:FS739"/>
    <mergeCell ref="DU742:DY742"/>
    <mergeCell ref="DU741:DY741"/>
    <mergeCell ref="ET741:EX741"/>
    <mergeCell ref="EO741:ES741"/>
    <mergeCell ref="EO742:ES742"/>
    <mergeCell ref="EE742:EI742"/>
    <mergeCell ref="FO743:FS743"/>
    <mergeCell ref="ET729:EX729"/>
    <mergeCell ref="EE728:EI728"/>
    <mergeCell ref="EJ741:EN741"/>
    <mergeCell ref="DZ737:ED737"/>
    <mergeCell ref="ET735:EX735"/>
    <mergeCell ref="EZ740:FD740"/>
    <mergeCell ref="EE743:EI743"/>
    <mergeCell ref="EJ742:EN742"/>
    <mergeCell ref="EE741:EI741"/>
    <mergeCell ref="ET740:EX740"/>
    <mergeCell ref="DU738:DY738"/>
    <mergeCell ref="EE736:EI736"/>
    <mergeCell ref="EJ736:EN736"/>
    <mergeCell ref="EO735:ES735"/>
    <mergeCell ref="EJ732:EN732"/>
    <mergeCell ref="FE728:FI728"/>
    <mergeCell ref="FE760:FI760"/>
    <mergeCell ref="FJ760:FN760"/>
    <mergeCell ref="FO760:FS760"/>
    <mergeCell ref="FT760:FX760"/>
    <mergeCell ref="EZ738:FD738"/>
    <mergeCell ref="EZ759:FD759"/>
    <mergeCell ref="EZ748:FD748"/>
    <mergeCell ref="FE748:FI748"/>
    <mergeCell ref="FE753:FI753"/>
    <mergeCell ref="FJ753:FN753"/>
    <mergeCell ref="FO753:FS753"/>
    <mergeCell ref="FT753:FX753"/>
    <mergeCell ref="FY741:GC741"/>
    <mergeCell ref="FY747:GC747"/>
    <mergeCell ref="EZ742:FD742"/>
    <mergeCell ref="FE742:FI742"/>
    <mergeCell ref="EZ746:FD746"/>
    <mergeCell ref="FE746:FI746"/>
    <mergeCell ref="FJ746:FN746"/>
    <mergeCell ref="FO746:FS746"/>
    <mergeCell ref="FT746:FX746"/>
    <mergeCell ref="FT747:FX747"/>
    <mergeCell ref="FY748:GC748"/>
    <mergeCell ref="FO748:FS748"/>
    <mergeCell ref="FJ741:FN741"/>
    <mergeCell ref="FO741:FS741"/>
    <mergeCell ref="FY759:GC759"/>
    <mergeCell ref="FE759:FI759"/>
    <mergeCell ref="FJ759:FN759"/>
    <mergeCell ref="FT750:FX750"/>
    <mergeCell ref="FY755:GC755"/>
    <mergeCell ref="FT756:FX756"/>
    <mergeCell ref="FO759:FS759"/>
    <mergeCell ref="EW675:FA675"/>
    <mergeCell ref="FT739:FX739"/>
    <mergeCell ref="FY739:GC739"/>
    <mergeCell ref="FE740:FI740"/>
    <mergeCell ref="FJ740:FN740"/>
    <mergeCell ref="FE747:FI747"/>
    <mergeCell ref="FJ747:FN747"/>
    <mergeCell ref="FO747:FS747"/>
    <mergeCell ref="FT748:FX748"/>
    <mergeCell ref="FT741:FX741"/>
    <mergeCell ref="FT742:FX742"/>
    <mergeCell ref="FY742:GC742"/>
    <mergeCell ref="EZ743:FD743"/>
    <mergeCell ref="FE743:FI743"/>
    <mergeCell ref="FT745:FX745"/>
    <mergeCell ref="FE738:FI738"/>
    <mergeCell ref="FJ738:FN738"/>
    <mergeCell ref="FY736:GC736"/>
    <mergeCell ref="EZ737:FD737"/>
    <mergeCell ref="FE737:FI737"/>
    <mergeCell ref="FJ737:FN737"/>
    <mergeCell ref="FO737:FS737"/>
    <mergeCell ref="FT737:FX737"/>
    <mergeCell ref="FY737:GC737"/>
    <mergeCell ref="FY745:GC745"/>
    <mergeCell ref="FT743:FX743"/>
    <mergeCell ref="FY743:GC743"/>
    <mergeCell ref="EZ744:FD744"/>
    <mergeCell ref="FE744:FI744"/>
    <mergeCell ref="FJ744:FN744"/>
    <mergeCell ref="FJ748:FN748"/>
    <mergeCell ref="FT749:FX749"/>
    <mergeCell ref="FY746:GC746"/>
    <mergeCell ref="FY738:GC738"/>
    <mergeCell ref="FY744:GC744"/>
    <mergeCell ref="EZ745:FD745"/>
    <mergeCell ref="FE745:FI745"/>
    <mergeCell ref="FJ745:FN745"/>
    <mergeCell ref="FO745:FS745"/>
    <mergeCell ref="FJ742:FN742"/>
    <mergeCell ref="FO742:FS742"/>
    <mergeCell ref="FO738:FS738"/>
    <mergeCell ref="FT738:FX738"/>
    <mergeCell ref="FO740:FS740"/>
    <mergeCell ref="FT740:FX740"/>
    <mergeCell ref="FY740:GC740"/>
    <mergeCell ref="FO744:FS744"/>
    <mergeCell ref="FT744:FX744"/>
    <mergeCell ref="FE741:FI741"/>
    <mergeCell ref="FJ743:FN743"/>
    <mergeCell ref="FT758:FX758"/>
    <mergeCell ref="FY758:GC758"/>
    <mergeCell ref="EZ747:FD747"/>
    <mergeCell ref="FY729:GC729"/>
    <mergeCell ref="EZ730:FD730"/>
    <mergeCell ref="FE730:FI730"/>
    <mergeCell ref="FJ730:FN730"/>
    <mergeCell ref="FO730:FS730"/>
    <mergeCell ref="FT730:FX730"/>
    <mergeCell ref="FY730:GC730"/>
    <mergeCell ref="EZ731:FD731"/>
    <mergeCell ref="FE731:FI731"/>
    <mergeCell ref="FJ731:FN731"/>
    <mergeCell ref="FO731:FS731"/>
    <mergeCell ref="FO733:FS733"/>
    <mergeCell ref="FT733:FX733"/>
    <mergeCell ref="EZ729:FD729"/>
    <mergeCell ref="FE729:FI729"/>
    <mergeCell ref="EZ733:FD733"/>
    <mergeCell ref="FE733:FI733"/>
    <mergeCell ref="EZ732:FD732"/>
    <mergeCell ref="FY733:GC733"/>
    <mergeCell ref="FT732:FX732"/>
    <mergeCell ref="FY732:GC732"/>
    <mergeCell ref="FJ732:FN732"/>
    <mergeCell ref="FO732:FS732"/>
    <mergeCell ref="FE732:FI732"/>
    <mergeCell ref="FE734:FI734"/>
    <mergeCell ref="EZ736:FD736"/>
    <mergeCell ref="FE736:FI736"/>
    <mergeCell ref="FJ736:FN736"/>
    <mergeCell ref="FO736:FS736"/>
    <mergeCell ref="FY735:GC735"/>
    <mergeCell ref="FE735:FI735"/>
    <mergeCell ref="FJ735:FN735"/>
    <mergeCell ref="FO735:FS735"/>
    <mergeCell ref="FT735:FX735"/>
    <mergeCell ref="FJ734:FN734"/>
    <mergeCell ref="FO734:FS734"/>
    <mergeCell ref="FT734:FX734"/>
    <mergeCell ref="FT736:FX736"/>
    <mergeCell ref="FY734:GC734"/>
    <mergeCell ref="DZ740:ED740"/>
    <mergeCell ref="EE740:EI740"/>
    <mergeCell ref="EJ740:EN740"/>
    <mergeCell ref="DU739:DY739"/>
    <mergeCell ref="EO739:ES739"/>
    <mergeCell ref="DU744:DY744"/>
    <mergeCell ref="FT759:FX759"/>
    <mergeCell ref="DZ742:ED742"/>
    <mergeCell ref="DU734:DY734"/>
    <mergeCell ref="DZ739:ED739"/>
    <mergeCell ref="EE739:EI739"/>
    <mergeCell ref="EJ739:EN739"/>
    <mergeCell ref="DU740:DY740"/>
    <mergeCell ref="DZ734:ED734"/>
    <mergeCell ref="DU736:DY736"/>
    <mergeCell ref="EZ757:FD757"/>
    <mergeCell ref="FE757:FI757"/>
    <mergeCell ref="FJ757:FN757"/>
    <mergeCell ref="FO757:FS757"/>
    <mergeCell ref="FY753:GC753"/>
    <mergeCell ref="EZ754:FD754"/>
    <mergeCell ref="FT754:FX754"/>
    <mergeCell ref="D1003:AE1003"/>
    <mergeCell ref="D1009:AE1009"/>
    <mergeCell ref="D1011:AE1015"/>
    <mergeCell ref="D1020:AE1020"/>
    <mergeCell ref="D1021:AE1021"/>
    <mergeCell ref="R997:AA997"/>
    <mergeCell ref="D999:Q999"/>
    <mergeCell ref="AB998:AI998"/>
    <mergeCell ref="FT725:FX725"/>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8:GC728"/>
    <mergeCell ref="FT731:FX731"/>
    <mergeCell ref="FY731:GC731"/>
    <mergeCell ref="FT728:FX728"/>
    <mergeCell ref="FT729:FX729"/>
    <mergeCell ref="O983:P983"/>
    <mergeCell ref="FJ733:FN733"/>
    <mergeCell ref="D1008:AE1008"/>
    <mergeCell ref="R996:AA996"/>
    <mergeCell ref="O749:S749"/>
    <mergeCell ref="D1062:AI1062"/>
    <mergeCell ref="D1058:AE1058"/>
    <mergeCell ref="D1041:AE1041"/>
    <mergeCell ref="D1059:AE1060"/>
    <mergeCell ref="X1057:Y1057"/>
    <mergeCell ref="X1061:Y1061"/>
    <mergeCell ref="I1057:J1057"/>
    <mergeCell ref="I1061:J1061"/>
    <mergeCell ref="AG1058:AH1058"/>
    <mergeCell ref="AG1034:AH1034"/>
    <mergeCell ref="AA982:AG982"/>
    <mergeCell ref="R994:AA994"/>
    <mergeCell ref="A988:AT990"/>
    <mergeCell ref="AJ994:AQ994"/>
    <mergeCell ref="AJ1022:AQ1024"/>
    <mergeCell ref="AJ1025:AQ1028"/>
    <mergeCell ref="AJ1034:AQ1037"/>
    <mergeCell ref="AF1036:AI1037"/>
    <mergeCell ref="D1055:AE1056"/>
    <mergeCell ref="D1016:AE1016"/>
    <mergeCell ref="R999:AA999"/>
    <mergeCell ref="AJ999:AQ999"/>
    <mergeCell ref="W983:AG983"/>
    <mergeCell ref="M982:S982"/>
    <mergeCell ref="AG1025:AH1025"/>
    <mergeCell ref="AG1029:AH1029"/>
    <mergeCell ref="D1025:AE1025"/>
    <mergeCell ref="D1017:AE1019"/>
    <mergeCell ref="AF1030:AI1031"/>
    <mergeCell ref="AJ1062:AQ1062"/>
    <mergeCell ref="D995:Q995"/>
    <mergeCell ref="AB995:AI995"/>
    <mergeCell ref="AG1038:AH1038"/>
    <mergeCell ref="D1046:AE1049"/>
    <mergeCell ref="D1054:AE1054"/>
    <mergeCell ref="D1023:AE1024"/>
    <mergeCell ref="AG1054:AH1054"/>
    <mergeCell ref="D1026:AE1028"/>
    <mergeCell ref="AG1041:AH1041"/>
    <mergeCell ref="D1045:AE1045"/>
    <mergeCell ref="AG1050:AH1050"/>
    <mergeCell ref="AG1045:AH1045"/>
    <mergeCell ref="D1035:AE1037"/>
    <mergeCell ref="U924:Z926"/>
    <mergeCell ref="U959:Z959"/>
    <mergeCell ref="AA984:AG984"/>
    <mergeCell ref="AA954:AF954"/>
    <mergeCell ref="U927:Z927"/>
    <mergeCell ref="D1022:AE1022"/>
    <mergeCell ref="AF1002:AI1002"/>
    <mergeCell ref="AG1003:AH1003"/>
    <mergeCell ref="AG1010:AH1010"/>
    <mergeCell ref="AG1016:AH1016"/>
    <mergeCell ref="AG1020:AH1020"/>
    <mergeCell ref="AG1022:AH1022"/>
    <mergeCell ref="D1042:AE1044"/>
    <mergeCell ref="D1029:AE1030"/>
    <mergeCell ref="AB1000:AI1000"/>
    <mergeCell ref="D1034:AE1034"/>
    <mergeCell ref="AF1035:AI1035"/>
    <mergeCell ref="AA977:AG977"/>
    <mergeCell ref="AE964:AK964"/>
    <mergeCell ref="I959:T959"/>
    <mergeCell ref="D1004:AE1007"/>
    <mergeCell ref="AJ1045:AQ1049"/>
    <mergeCell ref="D1050:AE1050"/>
    <mergeCell ref="D1051:AE1053"/>
    <mergeCell ref="F984:L984"/>
    <mergeCell ref="AC739:AG739"/>
    <mergeCell ref="AJ1050:AQ1053"/>
    <mergeCell ref="D1039:AE1040"/>
    <mergeCell ref="B1002:AE1002"/>
    <mergeCell ref="AJ1038:AQ1040"/>
    <mergeCell ref="AJ996:AQ996"/>
    <mergeCell ref="AJ997:AQ997"/>
    <mergeCell ref="AJ1041:AQ1044"/>
    <mergeCell ref="AJ1003:AQ1009"/>
    <mergeCell ref="AJ1016:AQ1019"/>
    <mergeCell ref="AJ1020:AQ1021"/>
    <mergeCell ref="AJ995:AQ995"/>
    <mergeCell ref="AJ1010:AQ1015"/>
    <mergeCell ref="AJ1029:AQ1033"/>
    <mergeCell ref="D1031:AE1032"/>
    <mergeCell ref="D997:Q997"/>
    <mergeCell ref="D998:Q998"/>
    <mergeCell ref="C774:AR776"/>
    <mergeCell ref="B745:F745"/>
    <mergeCell ref="B1001:AI1001"/>
    <mergeCell ref="D1038:AE1038"/>
    <mergeCell ref="B1000:AA1000"/>
    <mergeCell ref="AH761:AJ761"/>
    <mergeCell ref="AK753:AO753"/>
    <mergeCell ref="AH749:AJ749"/>
    <mergeCell ref="AK748:AO748"/>
    <mergeCell ref="AK749:AO749"/>
    <mergeCell ref="AK760:AO760"/>
    <mergeCell ref="D1010:AE1010"/>
    <mergeCell ref="O740:S740"/>
    <mergeCell ref="G745:J745"/>
    <mergeCell ref="G743:J743"/>
    <mergeCell ref="K751:N751"/>
    <mergeCell ref="M971:S971"/>
    <mergeCell ref="AA934:AF934"/>
    <mergeCell ref="AE967:AK967"/>
    <mergeCell ref="F925:T926"/>
    <mergeCell ref="F948:T948"/>
    <mergeCell ref="AB997:AI997"/>
    <mergeCell ref="R995:AA995"/>
    <mergeCell ref="T759:W759"/>
    <mergeCell ref="K756:N756"/>
    <mergeCell ref="M968:S968"/>
    <mergeCell ref="J966:S966"/>
    <mergeCell ref="AE968:AK968"/>
    <mergeCell ref="B743:F743"/>
    <mergeCell ref="B746:F746"/>
    <mergeCell ref="K757:N757"/>
    <mergeCell ref="O757:S757"/>
    <mergeCell ref="X759:AB759"/>
    <mergeCell ref="AB999:AI999"/>
    <mergeCell ref="O758:S758"/>
    <mergeCell ref="K753:N753"/>
    <mergeCell ref="T748:W748"/>
    <mergeCell ref="G749:J749"/>
    <mergeCell ref="O750:S750"/>
    <mergeCell ref="AC755:AG755"/>
    <mergeCell ref="T760:W760"/>
    <mergeCell ref="T746:W746"/>
    <mergeCell ref="O748:S748"/>
    <mergeCell ref="T982:Z982"/>
    <mergeCell ref="I956:T956"/>
    <mergeCell ref="AK746:AO746"/>
    <mergeCell ref="U955:Z955"/>
    <mergeCell ref="F955:H955"/>
    <mergeCell ref="AA976:AG976"/>
    <mergeCell ref="F937:T937"/>
    <mergeCell ref="U935:Z935"/>
    <mergeCell ref="Y835:AB835"/>
    <mergeCell ref="AG835:AJ835"/>
    <mergeCell ref="U929:Z929"/>
    <mergeCell ref="W869:AC869"/>
    <mergeCell ref="C904:AB904"/>
    <mergeCell ref="F935:T935"/>
    <mergeCell ref="F936:T936"/>
    <mergeCell ref="AE965:AK965"/>
    <mergeCell ref="P954:T954"/>
    <mergeCell ref="F953:T953"/>
    <mergeCell ref="U953:Z953"/>
    <mergeCell ref="AH759:AJ759"/>
    <mergeCell ref="K754:N754"/>
    <mergeCell ref="T754:W754"/>
    <mergeCell ref="K755:N755"/>
    <mergeCell ref="AH758:AJ758"/>
    <mergeCell ref="B760:F760"/>
    <mergeCell ref="B759:F759"/>
    <mergeCell ref="B750:F750"/>
    <mergeCell ref="B751:F751"/>
    <mergeCell ref="B744:F744"/>
    <mergeCell ref="AC736:AG736"/>
    <mergeCell ref="AC740:AG740"/>
    <mergeCell ref="X741:AB741"/>
    <mergeCell ref="G740:J740"/>
    <mergeCell ref="AH743:AJ743"/>
    <mergeCell ref="X742:AB742"/>
    <mergeCell ref="O747:S747"/>
    <mergeCell ref="O744:S744"/>
    <mergeCell ref="K746:N746"/>
    <mergeCell ref="T752:W752"/>
    <mergeCell ref="O755:S755"/>
    <mergeCell ref="T755:W755"/>
    <mergeCell ref="AC756:AG756"/>
    <mergeCell ref="T750:W750"/>
    <mergeCell ref="X753:AB753"/>
    <mergeCell ref="AC747:AG747"/>
    <mergeCell ref="X740:AB740"/>
    <mergeCell ref="K742:N742"/>
    <mergeCell ref="AH748:AJ748"/>
    <mergeCell ref="G742:J742"/>
    <mergeCell ref="O743:S743"/>
    <mergeCell ref="AC737:AG737"/>
    <mergeCell ref="O736:S736"/>
    <mergeCell ref="B741:F741"/>
    <mergeCell ref="X746:AB746"/>
    <mergeCell ref="X737:AB737"/>
    <mergeCell ref="K749:N749"/>
    <mergeCell ref="X748:AB748"/>
    <mergeCell ref="X743:AB743"/>
    <mergeCell ref="X744:AB744"/>
    <mergeCell ref="T743:W743"/>
    <mergeCell ref="D1134:AK1136"/>
    <mergeCell ref="X734:AB734"/>
    <mergeCell ref="AH731:AJ731"/>
    <mergeCell ref="AA981:AG981"/>
    <mergeCell ref="AA929:AF929"/>
    <mergeCell ref="AA928:AF928"/>
    <mergeCell ref="U934:Z934"/>
    <mergeCell ref="A919:AT920"/>
    <mergeCell ref="F945:T945"/>
    <mergeCell ref="AA956:AF956"/>
    <mergeCell ref="Y838:AB838"/>
    <mergeCell ref="U931:Z931"/>
    <mergeCell ref="AA933:AF933"/>
    <mergeCell ref="M978:S978"/>
    <mergeCell ref="AA944:AF944"/>
    <mergeCell ref="AA927:AF927"/>
    <mergeCell ref="AA978:AG978"/>
    <mergeCell ref="AA958:AF958"/>
    <mergeCell ref="B747:F747"/>
    <mergeCell ref="K743:N743"/>
    <mergeCell ref="K744:N744"/>
    <mergeCell ref="A1106:B1106"/>
    <mergeCell ref="AE969:AK969"/>
    <mergeCell ref="G761:J761"/>
    <mergeCell ref="AD767:AF767"/>
    <mergeCell ref="O754:S754"/>
    <mergeCell ref="O751:S751"/>
    <mergeCell ref="T751:W751"/>
    <mergeCell ref="K752:N752"/>
    <mergeCell ref="O752:S752"/>
    <mergeCell ref="K736:N736"/>
    <mergeCell ref="A1109:B1109"/>
    <mergeCell ref="A1103:B1103"/>
    <mergeCell ref="K740:N740"/>
    <mergeCell ref="AJ1000:AQ1000"/>
    <mergeCell ref="W874:AC874"/>
    <mergeCell ref="W888:AC888"/>
    <mergeCell ref="G734:J734"/>
    <mergeCell ref="K741:N741"/>
    <mergeCell ref="O756:S756"/>
    <mergeCell ref="T783:W783"/>
    <mergeCell ref="C771:AR773"/>
    <mergeCell ref="AC760:AG760"/>
    <mergeCell ref="T757:W757"/>
    <mergeCell ref="K758:N758"/>
    <mergeCell ref="X756:AB756"/>
    <mergeCell ref="X757:AB757"/>
    <mergeCell ref="J791:N794"/>
    <mergeCell ref="T798:W798"/>
    <mergeCell ref="T801:W801"/>
    <mergeCell ref="O783:S783"/>
    <mergeCell ref="AB926:AE926"/>
    <mergeCell ref="AA931:AF931"/>
    <mergeCell ref="M967:S967"/>
    <mergeCell ref="M969:S969"/>
    <mergeCell ref="Z910:AE910"/>
    <mergeCell ref="J782:N782"/>
    <mergeCell ref="O764:R764"/>
    <mergeCell ref="X758:AB758"/>
    <mergeCell ref="AC757:AG757"/>
    <mergeCell ref="AC783:AG783"/>
    <mergeCell ref="AC791:AG794"/>
    <mergeCell ref="I955:T955"/>
    <mergeCell ref="AA955:AF955"/>
    <mergeCell ref="A1134:B1134"/>
    <mergeCell ref="G733:J733"/>
    <mergeCell ref="B740:F740"/>
    <mergeCell ref="T753:W753"/>
    <mergeCell ref="AH738:AJ738"/>
    <mergeCell ref="AC731:AG731"/>
    <mergeCell ref="AC802:AG802"/>
    <mergeCell ref="AC803:AG803"/>
    <mergeCell ref="BG985:BL985"/>
    <mergeCell ref="AA959:AF959"/>
    <mergeCell ref="BD916:BE916"/>
    <mergeCell ref="BD917:BE917"/>
    <mergeCell ref="U956:Z956"/>
    <mergeCell ref="U928:Z928"/>
    <mergeCell ref="U954:Z954"/>
    <mergeCell ref="AA943:AF943"/>
    <mergeCell ref="U930:Z930"/>
    <mergeCell ref="AA930:AF930"/>
    <mergeCell ref="AC892:AH892"/>
    <mergeCell ref="Z911:AE911"/>
    <mergeCell ref="W872:AC872"/>
    <mergeCell ref="AC900:AH900"/>
    <mergeCell ref="C903:AB903"/>
    <mergeCell ref="AG840:AJ840"/>
    <mergeCell ref="W852:AC852"/>
    <mergeCell ref="AC840:AF840"/>
    <mergeCell ref="U937:Z937"/>
    <mergeCell ref="U957:Z957"/>
    <mergeCell ref="U944:Z944"/>
    <mergeCell ref="AA932:AF932"/>
    <mergeCell ref="M831:P832"/>
    <mergeCell ref="T804:W804"/>
    <mergeCell ref="U950:Z950"/>
    <mergeCell ref="AA952:AF952"/>
    <mergeCell ref="F951:T951"/>
    <mergeCell ref="U951:Z951"/>
    <mergeCell ref="AE970:AK970"/>
    <mergeCell ref="AA957:AF957"/>
    <mergeCell ref="M976:S976"/>
    <mergeCell ref="AA953:AF953"/>
    <mergeCell ref="W851:AC851"/>
    <mergeCell ref="M977:S977"/>
    <mergeCell ref="F941:T941"/>
    <mergeCell ref="AA948:AF948"/>
    <mergeCell ref="AA949:AF949"/>
    <mergeCell ref="W861:AC861"/>
    <mergeCell ref="M964:S964"/>
    <mergeCell ref="AA945:AF945"/>
    <mergeCell ref="AA951:AF951"/>
    <mergeCell ref="C901:AB901"/>
    <mergeCell ref="U933:Z933"/>
    <mergeCell ref="U942:Z942"/>
    <mergeCell ref="U943:Z943"/>
    <mergeCell ref="F939:T939"/>
    <mergeCell ref="F940:T940"/>
    <mergeCell ref="U945:Z945"/>
    <mergeCell ref="F949:T949"/>
    <mergeCell ref="U948:Z948"/>
    <mergeCell ref="I957:T957"/>
    <mergeCell ref="AC904:AH904"/>
    <mergeCell ref="AA942:AF942"/>
    <mergeCell ref="Z909:AE909"/>
    <mergeCell ref="AA950:AF950"/>
    <mergeCell ref="AA938:AF938"/>
    <mergeCell ref="U939:Z939"/>
    <mergeCell ref="AA939:AF939"/>
    <mergeCell ref="U958:Z958"/>
    <mergeCell ref="C838:H838"/>
    <mergeCell ref="F839:L839"/>
    <mergeCell ref="U835:X835"/>
    <mergeCell ref="C835:H835"/>
    <mergeCell ref="I958:T958"/>
    <mergeCell ref="U947:Z947"/>
    <mergeCell ref="M834:P834"/>
    <mergeCell ref="M880:V880"/>
    <mergeCell ref="Q833:T833"/>
    <mergeCell ref="W879:AC879"/>
    <mergeCell ref="AC894:AH894"/>
    <mergeCell ref="M885:V885"/>
    <mergeCell ref="W877:AC877"/>
    <mergeCell ref="W881:AC881"/>
    <mergeCell ref="Q839:T839"/>
    <mergeCell ref="M884:V884"/>
    <mergeCell ref="AA937:AF937"/>
    <mergeCell ref="AG838:AJ838"/>
    <mergeCell ref="U840:X840"/>
    <mergeCell ref="M840:P840"/>
    <mergeCell ref="W875:AC875"/>
    <mergeCell ref="U949:Z949"/>
    <mergeCell ref="AA947:AF947"/>
    <mergeCell ref="U932:Z932"/>
    <mergeCell ref="M887:V887"/>
    <mergeCell ref="W867:AC867"/>
    <mergeCell ref="U952:Z952"/>
    <mergeCell ref="BG856:BL856"/>
    <mergeCell ref="AH739:AJ739"/>
    <mergeCell ref="CP810:CT810"/>
    <mergeCell ref="CP796:CT796"/>
    <mergeCell ref="U838:X838"/>
    <mergeCell ref="J804:N804"/>
    <mergeCell ref="J785:N785"/>
    <mergeCell ref="CU785:CY785"/>
    <mergeCell ref="CU761:CY761"/>
    <mergeCell ref="CM760:CN760"/>
    <mergeCell ref="CP760:CT760"/>
    <mergeCell ref="CP782:CT782"/>
    <mergeCell ref="DJ740:DN740"/>
    <mergeCell ref="CU740:CY740"/>
    <mergeCell ref="CG759:CH759"/>
    <mergeCell ref="CU746:CY746"/>
    <mergeCell ref="DO741:DS741"/>
    <mergeCell ref="DO742:DS742"/>
    <mergeCell ref="O804:S804"/>
    <mergeCell ref="AC837:AF837"/>
    <mergeCell ref="Y834:AB834"/>
    <mergeCell ref="DJ745:DN745"/>
    <mergeCell ref="DJ743:DN743"/>
    <mergeCell ref="CG743:CH743"/>
    <mergeCell ref="U833:X833"/>
    <mergeCell ref="CG751:CH751"/>
    <mergeCell ref="DE747:DI747"/>
    <mergeCell ref="Q840:T840"/>
    <mergeCell ref="M839:P839"/>
    <mergeCell ref="CP745:CT745"/>
    <mergeCell ref="CI743:CJ743"/>
    <mergeCell ref="CP741:CT741"/>
    <mergeCell ref="DG122:DM122"/>
    <mergeCell ref="CU122:CV122"/>
    <mergeCell ref="AH722:AJ725"/>
    <mergeCell ref="AH733:AJ733"/>
    <mergeCell ref="BI849:BL849"/>
    <mergeCell ref="AC831:AF832"/>
    <mergeCell ref="Z824:AE824"/>
    <mergeCell ref="AC781:AG781"/>
    <mergeCell ref="AC733:AG733"/>
    <mergeCell ref="AC734:AG734"/>
    <mergeCell ref="AC838:AF838"/>
    <mergeCell ref="Y836:AB836"/>
    <mergeCell ref="AC777:AG780"/>
    <mergeCell ref="Y840:AB840"/>
    <mergeCell ref="DJ747:DN747"/>
    <mergeCell ref="CK748:CL748"/>
    <mergeCell ref="DE760:DI760"/>
    <mergeCell ref="AF635:AJ635"/>
    <mergeCell ref="CG760:CH760"/>
    <mergeCell ref="AC839:AF839"/>
    <mergeCell ref="AH742:AJ742"/>
    <mergeCell ref="X745:AB745"/>
    <mergeCell ref="X798:AB798"/>
    <mergeCell ref="U839:X839"/>
    <mergeCell ref="CU782:CY782"/>
    <mergeCell ref="X791:AB794"/>
    <mergeCell ref="X795:AB795"/>
    <mergeCell ref="X804:AB804"/>
    <mergeCell ref="Y837:AB837"/>
    <mergeCell ref="DJ737:DN737"/>
    <mergeCell ref="DE727:DI727"/>
    <mergeCell ref="CZ728:DD728"/>
    <mergeCell ref="ET760:EX760"/>
    <mergeCell ref="EO759:ES759"/>
    <mergeCell ref="CZ760:DD760"/>
    <mergeCell ref="ET761:EX761"/>
    <mergeCell ref="DJ739:DN739"/>
    <mergeCell ref="CZ742:DD742"/>
    <mergeCell ref="DE739:DI739"/>
    <mergeCell ref="DE742:DI742"/>
    <mergeCell ref="EE757:EI757"/>
    <mergeCell ref="EJ757:EN757"/>
    <mergeCell ref="EO757:ES757"/>
    <mergeCell ref="EE755:EI755"/>
    <mergeCell ref="EJ755:EN755"/>
    <mergeCell ref="EE750:EI750"/>
    <mergeCell ref="EJ750:EN750"/>
    <mergeCell ref="EO750:ES750"/>
    <mergeCell ref="DO749:DS749"/>
    <mergeCell ref="EJ752:EN752"/>
    <mergeCell ref="EO752:ES752"/>
    <mergeCell ref="DJ749:DN749"/>
    <mergeCell ref="DJ741:DN741"/>
    <mergeCell ref="CZ757:DD757"/>
    <mergeCell ref="DE757:DI757"/>
    <mergeCell ref="DJ757:DN757"/>
    <mergeCell ref="DO757:DS757"/>
    <mergeCell ref="CZ756:DD756"/>
    <mergeCell ref="DE756:DI756"/>
    <mergeCell ref="DJ756:DN756"/>
    <mergeCell ref="DO756:DS756"/>
    <mergeCell ref="DJ755:DN755"/>
    <mergeCell ref="ET742:EX742"/>
    <mergeCell ref="ET743:EX743"/>
    <mergeCell ref="EO738:ES738"/>
    <mergeCell ref="ET738:EX738"/>
    <mergeCell ref="EO732:ES732"/>
    <mergeCell ref="ET732:EX732"/>
    <mergeCell ref="EO734:ES734"/>
    <mergeCell ref="ET734:EX734"/>
    <mergeCell ref="ET730:EX730"/>
    <mergeCell ref="ET728:EX728"/>
    <mergeCell ref="EO736:ES736"/>
    <mergeCell ref="ET736:EX736"/>
    <mergeCell ref="DO737:DS737"/>
    <mergeCell ref="DO727:DS727"/>
    <mergeCell ref="CU737:CY737"/>
    <mergeCell ref="DE733:DI733"/>
    <mergeCell ref="DE737:DI737"/>
    <mergeCell ref="DE734:DI734"/>
    <mergeCell ref="CU736:CY736"/>
    <mergeCell ref="CU738:CY738"/>
    <mergeCell ref="DZ735:ED735"/>
    <mergeCell ref="EE735:EI735"/>
    <mergeCell ref="EE731:EI731"/>
    <mergeCell ref="EJ731:EN731"/>
    <mergeCell ref="EO733:ES733"/>
    <mergeCell ref="EE733:EI733"/>
    <mergeCell ref="DE731:DI731"/>
    <mergeCell ref="DO729:DS729"/>
    <mergeCell ref="DO738:DS738"/>
    <mergeCell ref="DJ738:DN738"/>
    <mergeCell ref="DJ735:DN735"/>
    <mergeCell ref="DJ734:DN734"/>
    <mergeCell ref="CU729:CY729"/>
    <mergeCell ref="DE729:DI729"/>
    <mergeCell ref="EE730:EI730"/>
    <mergeCell ref="DZ736:ED736"/>
    <mergeCell ref="EE732:EI732"/>
    <mergeCell ref="AK736:AO736"/>
    <mergeCell ref="DE738:DI738"/>
    <mergeCell ref="CM738:CN738"/>
    <mergeCell ref="CM737:CN737"/>
    <mergeCell ref="AC640:AE640"/>
    <mergeCell ref="CI725:CJ725"/>
    <mergeCell ref="AA688:AK688"/>
    <mergeCell ref="Z670:AK670"/>
    <mergeCell ref="CP727:CT727"/>
    <mergeCell ref="AK639:AN639"/>
    <mergeCell ref="AK640:AN640"/>
    <mergeCell ref="AF640:AJ640"/>
    <mergeCell ref="AC639:AE639"/>
    <mergeCell ref="AC642:AE642"/>
    <mergeCell ref="EC672:EG672"/>
    <mergeCell ref="CU726:CY726"/>
    <mergeCell ref="CP725:CT725"/>
    <mergeCell ref="AH726:AJ726"/>
    <mergeCell ref="AC726:AG726"/>
    <mergeCell ref="Z679:AE679"/>
    <mergeCell ref="EC649:EG649"/>
    <mergeCell ref="EC651:EG651"/>
    <mergeCell ref="EC650:EG650"/>
    <mergeCell ref="AF646:AJ646"/>
    <mergeCell ref="Z675:AK675"/>
    <mergeCell ref="AC646:AE646"/>
    <mergeCell ref="DE725:DI725"/>
    <mergeCell ref="EC645:EG645"/>
    <mergeCell ref="EH645:EL645"/>
    <mergeCell ref="AF641:AJ641"/>
    <mergeCell ref="DX676:EB676"/>
    <mergeCell ref="EC676:EG676"/>
    <mergeCell ref="DX654:EB654"/>
    <mergeCell ref="EC654:EG654"/>
    <mergeCell ref="DX656:EB656"/>
    <mergeCell ref="DO726:DS726"/>
    <mergeCell ref="AI679:AK679"/>
    <mergeCell ref="Z684:AK684"/>
    <mergeCell ref="DJ726:DN726"/>
    <mergeCell ref="CZ727:DD727"/>
    <mergeCell ref="CP729:CT729"/>
    <mergeCell ref="DE736:DI736"/>
    <mergeCell ref="CG735:CH735"/>
    <mergeCell ref="CZ736:DD736"/>
    <mergeCell ref="DJ733:DN733"/>
    <mergeCell ref="CI731:CJ731"/>
    <mergeCell ref="AC730:AG730"/>
    <mergeCell ref="AK730:AO730"/>
    <mergeCell ref="AK729:AO729"/>
    <mergeCell ref="CI734:CJ734"/>
    <mergeCell ref="CG734:CH734"/>
    <mergeCell ref="CM735:CN735"/>
    <mergeCell ref="CK734:CL734"/>
    <mergeCell ref="Z692:AK692"/>
    <mergeCell ref="AK728:AO728"/>
    <mergeCell ref="W708:AK708"/>
    <mergeCell ref="Z691:AK691"/>
    <mergeCell ref="CG727:CH727"/>
    <mergeCell ref="CM734:CN734"/>
    <mergeCell ref="DE730:DI730"/>
    <mergeCell ref="CU727:CY727"/>
    <mergeCell ref="CP731:CT731"/>
    <mergeCell ref="CU735:CY735"/>
    <mergeCell ref="CK732:CL732"/>
    <mergeCell ref="CK735:CL735"/>
    <mergeCell ref="CM731:CN731"/>
    <mergeCell ref="CM733:CN733"/>
    <mergeCell ref="DJ736:DN736"/>
    <mergeCell ref="T728:W728"/>
    <mergeCell ref="Z676:AK676"/>
    <mergeCell ref="AA680:AK680"/>
    <mergeCell ref="CK731:CL731"/>
    <mergeCell ref="CK729:CL729"/>
    <mergeCell ref="CM726:CN726"/>
    <mergeCell ref="CM736:CN736"/>
    <mergeCell ref="CU734:CY734"/>
    <mergeCell ref="CZ734:DD734"/>
    <mergeCell ref="CG733:CH733"/>
    <mergeCell ref="CK736:CL736"/>
    <mergeCell ref="CG731:CH731"/>
    <mergeCell ref="CG728:CH728"/>
    <mergeCell ref="AK733:AO733"/>
    <mergeCell ref="AK734:AO734"/>
    <mergeCell ref="AE710:AF710"/>
    <mergeCell ref="A717:AT719"/>
    <mergeCell ref="AI687:AK687"/>
    <mergeCell ref="AK722:AO725"/>
    <mergeCell ref="AK726:AO726"/>
    <mergeCell ref="CI733:CJ733"/>
    <mergeCell ref="CG726:CH726"/>
    <mergeCell ref="Z683:AK683"/>
    <mergeCell ref="G731:J731"/>
    <mergeCell ref="O733:S733"/>
    <mergeCell ref="DJ731:DN731"/>
    <mergeCell ref="DJ732:DN732"/>
    <mergeCell ref="DE728:DI728"/>
    <mergeCell ref="DE732:DI732"/>
    <mergeCell ref="AH525:AK525"/>
    <mergeCell ref="EH660:EL660"/>
    <mergeCell ref="Z687:AE687"/>
    <mergeCell ref="Z678:AK678"/>
    <mergeCell ref="AM569:AS569"/>
    <mergeCell ref="Z639:AB639"/>
    <mergeCell ref="AF632:AJ634"/>
    <mergeCell ref="AM567:AS567"/>
    <mergeCell ref="Z695:AE695"/>
    <mergeCell ref="AK638:AN638"/>
    <mergeCell ref="AM570:AS570"/>
    <mergeCell ref="AO639:AS639"/>
    <mergeCell ref="AI671:AK671"/>
    <mergeCell ref="B649:AN649"/>
    <mergeCell ref="G651:R651"/>
    <mergeCell ref="M642:P642"/>
    <mergeCell ref="Z669:AK669"/>
    <mergeCell ref="Q642:S642"/>
    <mergeCell ref="AK644:AN644"/>
    <mergeCell ref="C645:L645"/>
    <mergeCell ref="C640:L640"/>
    <mergeCell ref="M640:P640"/>
    <mergeCell ref="Q641:S641"/>
    <mergeCell ref="AF639:AJ639"/>
    <mergeCell ref="Z637:AB637"/>
    <mergeCell ref="AM564:AS564"/>
    <mergeCell ref="AI570:AL570"/>
    <mergeCell ref="CI729:CJ729"/>
    <mergeCell ref="Z576:AK576"/>
    <mergeCell ref="Z579:AK579"/>
    <mergeCell ref="AI572:AL572"/>
    <mergeCell ref="T569:V569"/>
    <mergeCell ref="DJ729:DN729"/>
    <mergeCell ref="DO734:DS734"/>
    <mergeCell ref="G692:R692"/>
    <mergeCell ref="G589:L589"/>
    <mergeCell ref="Z612:AK612"/>
    <mergeCell ref="C571:L571"/>
    <mergeCell ref="AE573:AH573"/>
    <mergeCell ref="G595:R595"/>
    <mergeCell ref="G586:R586"/>
    <mergeCell ref="DO725:DS725"/>
    <mergeCell ref="CZ729:DD729"/>
    <mergeCell ref="AE572:AH572"/>
    <mergeCell ref="T646:V646"/>
    <mergeCell ref="T636:V636"/>
    <mergeCell ref="DJ727:DN727"/>
    <mergeCell ref="CU725:CY725"/>
    <mergeCell ref="AC643:AE643"/>
    <mergeCell ref="W643:Y643"/>
    <mergeCell ref="Z605:AE605"/>
    <mergeCell ref="AF637:AJ637"/>
    <mergeCell ref="G677:R677"/>
    <mergeCell ref="W637:Y637"/>
    <mergeCell ref="T571:V571"/>
    <mergeCell ref="Z572:AD572"/>
    <mergeCell ref="Z573:AD573"/>
    <mergeCell ref="Z580:AE580"/>
    <mergeCell ref="Z597:AE597"/>
    <mergeCell ref="G593:R593"/>
    <mergeCell ref="Z652:AK652"/>
    <mergeCell ref="AO644:AS644"/>
    <mergeCell ref="CZ726:DD726"/>
    <mergeCell ref="AC729:AG729"/>
    <mergeCell ref="AH728:AJ728"/>
    <mergeCell ref="AH729:AJ729"/>
    <mergeCell ref="AK727:AO727"/>
    <mergeCell ref="AO649:AS649"/>
    <mergeCell ref="Z659:AK659"/>
    <mergeCell ref="AK646:AN646"/>
    <mergeCell ref="CM725:CN725"/>
    <mergeCell ref="CM727:CN727"/>
    <mergeCell ref="CM729:CN729"/>
    <mergeCell ref="W711:AK711"/>
    <mergeCell ref="AF644:AJ644"/>
    <mergeCell ref="AF645:AJ645"/>
    <mergeCell ref="AC644:AE644"/>
    <mergeCell ref="Z655:AE655"/>
    <mergeCell ref="AC728:AG728"/>
    <mergeCell ref="Z653:AK653"/>
    <mergeCell ref="Z685:AK685"/>
    <mergeCell ref="Z661:AK661"/>
    <mergeCell ref="Z668:AK668"/>
    <mergeCell ref="Z585:AK585"/>
    <mergeCell ref="T637:V637"/>
    <mergeCell ref="M582:R582"/>
    <mergeCell ref="Z621:AE621"/>
    <mergeCell ref="N623:O623"/>
    <mergeCell ref="H622:R622"/>
    <mergeCell ref="P597:R597"/>
    <mergeCell ref="Z596:AK596"/>
    <mergeCell ref="AA606:AK606"/>
    <mergeCell ref="C636:L636"/>
    <mergeCell ref="Z618:AK618"/>
    <mergeCell ref="AF636:AJ636"/>
    <mergeCell ref="N607:O607"/>
    <mergeCell ref="AA598:AK598"/>
    <mergeCell ref="AI597:AK597"/>
    <mergeCell ref="Z604:AK604"/>
    <mergeCell ref="H606:R606"/>
    <mergeCell ref="AG591:AH591"/>
    <mergeCell ref="G596:R596"/>
    <mergeCell ref="Z588:AK588"/>
    <mergeCell ref="Z603:AK603"/>
    <mergeCell ref="G611:R611"/>
    <mergeCell ref="AC637:AE637"/>
    <mergeCell ref="M632:P634"/>
    <mergeCell ref="G587:R587"/>
    <mergeCell ref="G602:R602"/>
    <mergeCell ref="Z602:AK602"/>
    <mergeCell ref="Z611:AK611"/>
    <mergeCell ref="AG599:AH599"/>
    <mergeCell ref="G605:L605"/>
    <mergeCell ref="AG583:AH583"/>
    <mergeCell ref="N665:O665"/>
    <mergeCell ref="T641:V641"/>
    <mergeCell ref="G675:R675"/>
    <mergeCell ref="G655:L655"/>
    <mergeCell ref="Q646:S646"/>
    <mergeCell ref="H656:R656"/>
    <mergeCell ref="Z640:AB640"/>
    <mergeCell ref="M638:P638"/>
    <mergeCell ref="M639:P639"/>
    <mergeCell ref="G679:L679"/>
    <mergeCell ref="M367:N367"/>
    <mergeCell ref="Z586:AK586"/>
    <mergeCell ref="AH527:AK527"/>
    <mergeCell ref="AH544:AK544"/>
    <mergeCell ref="AG457:AJ457"/>
    <mergeCell ref="AH536:AK536"/>
    <mergeCell ref="M567:P567"/>
    <mergeCell ref="C572:L572"/>
    <mergeCell ref="M572:P572"/>
    <mergeCell ref="W562:Y562"/>
    <mergeCell ref="W563:Y563"/>
    <mergeCell ref="Z566:AD566"/>
    <mergeCell ref="M570:P570"/>
    <mergeCell ref="M571:P571"/>
    <mergeCell ref="AI569:AL569"/>
    <mergeCell ref="Q572:S572"/>
    <mergeCell ref="AE569:AH569"/>
    <mergeCell ref="M568:P568"/>
    <mergeCell ref="Q571:S571"/>
    <mergeCell ref="AI573:AL573"/>
    <mergeCell ref="AE570:AH570"/>
    <mergeCell ref="Q570:S570"/>
    <mergeCell ref="CG740:CH740"/>
    <mergeCell ref="AO641:AS641"/>
    <mergeCell ref="G685:R685"/>
    <mergeCell ref="Z686:AK686"/>
    <mergeCell ref="M635:P635"/>
    <mergeCell ref="M637:P637"/>
    <mergeCell ref="W632:Y634"/>
    <mergeCell ref="W636:Y636"/>
    <mergeCell ref="P671:R671"/>
    <mergeCell ref="AO648:AS648"/>
    <mergeCell ref="W644:Y644"/>
    <mergeCell ref="M644:P644"/>
    <mergeCell ref="AA672:AK672"/>
    <mergeCell ref="T643:V643"/>
    <mergeCell ref="T644:V644"/>
    <mergeCell ref="T645:V645"/>
    <mergeCell ref="AO640:AS640"/>
    <mergeCell ref="Z643:AB643"/>
    <mergeCell ref="AK632:AN634"/>
    <mergeCell ref="C638:L638"/>
    <mergeCell ref="C639:L639"/>
    <mergeCell ref="M641:P641"/>
    <mergeCell ref="G652:R652"/>
    <mergeCell ref="P663:R663"/>
    <mergeCell ref="W641:Y641"/>
    <mergeCell ref="Z638:AB638"/>
    <mergeCell ref="T638:V638"/>
    <mergeCell ref="T639:V639"/>
    <mergeCell ref="AC636:AE636"/>
    <mergeCell ref="C637:L637"/>
    <mergeCell ref="Z663:AE663"/>
    <mergeCell ref="AG673:AH673"/>
    <mergeCell ref="CZ737:DD737"/>
    <mergeCell ref="CZ739:DD739"/>
    <mergeCell ref="DE743:DI743"/>
    <mergeCell ref="CM741:CN741"/>
    <mergeCell ref="CM743:CN743"/>
    <mergeCell ref="CI740:CJ740"/>
    <mergeCell ref="CI741:CJ741"/>
    <mergeCell ref="CK739:CL739"/>
    <mergeCell ref="CK737:CL737"/>
    <mergeCell ref="CU732:CY732"/>
    <mergeCell ref="CU733:CY733"/>
    <mergeCell ref="CP738:CT738"/>
    <mergeCell ref="CU739:CY739"/>
    <mergeCell ref="CM740:CN740"/>
    <mergeCell ref="CP734:CT734"/>
    <mergeCell ref="CK740:CL740"/>
    <mergeCell ref="CP733:CT733"/>
    <mergeCell ref="CZ735:DD735"/>
    <mergeCell ref="CM732:CN732"/>
    <mergeCell ref="CM742:CN742"/>
    <mergeCell ref="CZ738:DD738"/>
    <mergeCell ref="CZ740:DD740"/>
    <mergeCell ref="CK743:CL743"/>
    <mergeCell ref="CP740:CT740"/>
    <mergeCell ref="CK738:CL738"/>
    <mergeCell ref="CP739:CT739"/>
    <mergeCell ref="CI737:CJ737"/>
    <mergeCell ref="AK732:AO732"/>
    <mergeCell ref="G683:R683"/>
    <mergeCell ref="O735:S735"/>
    <mergeCell ref="CK746:CL746"/>
    <mergeCell ref="CI739:CJ739"/>
    <mergeCell ref="CI736:CJ736"/>
    <mergeCell ref="AH736:AJ736"/>
    <mergeCell ref="DE740:DI740"/>
    <mergeCell ref="AK739:AO739"/>
    <mergeCell ref="CG742:CH742"/>
    <mergeCell ref="CP747:CT747"/>
    <mergeCell ref="CM746:CN746"/>
    <mergeCell ref="CU730:CY730"/>
    <mergeCell ref="CZ730:DD730"/>
    <mergeCell ref="CZ732:DD732"/>
    <mergeCell ref="CZ733:DD733"/>
    <mergeCell ref="CP736:CT736"/>
    <mergeCell ref="CP732:CT732"/>
    <mergeCell ref="CP735:CT735"/>
    <mergeCell ref="CI735:CJ735"/>
    <mergeCell ref="CZ743:DD743"/>
    <mergeCell ref="CU742:CY742"/>
    <mergeCell ref="CP744:CT744"/>
    <mergeCell ref="CM745:CN745"/>
    <mergeCell ref="CU745:CY745"/>
    <mergeCell ref="CZ746:DD746"/>
    <mergeCell ref="CM744:CN744"/>
    <mergeCell ref="CI746:CJ746"/>
    <mergeCell ref="CZ731:DD731"/>
    <mergeCell ref="CG747:CH747"/>
    <mergeCell ref="CP737:CT737"/>
    <mergeCell ref="K735:N735"/>
    <mergeCell ref="AA696:AK696"/>
    <mergeCell ref="O726:S726"/>
    <mergeCell ref="O722:S725"/>
    <mergeCell ref="G671:L671"/>
    <mergeCell ref="T740:W740"/>
    <mergeCell ref="T739:W739"/>
    <mergeCell ref="N657:O657"/>
    <mergeCell ref="AH727:AJ727"/>
    <mergeCell ref="CK733:CL733"/>
    <mergeCell ref="CG741:CH741"/>
    <mergeCell ref="CI742:CJ742"/>
    <mergeCell ref="CI727:CJ727"/>
    <mergeCell ref="CM747:CN747"/>
    <mergeCell ref="CI745:CJ745"/>
    <mergeCell ref="G687:L687"/>
    <mergeCell ref="X736:AB736"/>
    <mergeCell ref="O727:S727"/>
    <mergeCell ref="K732:N732"/>
    <mergeCell ref="AI663:AK663"/>
    <mergeCell ref="G670:R670"/>
    <mergeCell ref="AG689:AH689"/>
    <mergeCell ref="AI695:AK695"/>
    <mergeCell ref="J713:O713"/>
    <mergeCell ref="G684:R684"/>
    <mergeCell ref="O730:S730"/>
    <mergeCell ref="CM728:CN728"/>
    <mergeCell ref="CI728:CJ728"/>
    <mergeCell ref="CM730:CN730"/>
    <mergeCell ref="CG730:CH730"/>
    <mergeCell ref="AC744:AG744"/>
    <mergeCell ref="CG737:CH737"/>
    <mergeCell ref="AK731:AO731"/>
    <mergeCell ref="AH735:AJ735"/>
    <mergeCell ref="X733:AB733"/>
    <mergeCell ref="X729:AB729"/>
    <mergeCell ref="X735:AB735"/>
    <mergeCell ref="K728:N728"/>
    <mergeCell ref="AC727:AG727"/>
    <mergeCell ref="T735:W735"/>
    <mergeCell ref="X731:AB731"/>
    <mergeCell ref="T727:W727"/>
    <mergeCell ref="O732:S732"/>
    <mergeCell ref="T733:W733"/>
    <mergeCell ref="O728:S728"/>
    <mergeCell ref="K727:N727"/>
    <mergeCell ref="K739:N739"/>
    <mergeCell ref="K722:N725"/>
    <mergeCell ref="T730:W730"/>
    <mergeCell ref="N697:O697"/>
    <mergeCell ref="K734:N734"/>
    <mergeCell ref="T729:W729"/>
    <mergeCell ref="AE703:AI703"/>
    <mergeCell ref="O734:S734"/>
    <mergeCell ref="F947:T947"/>
    <mergeCell ref="AW927:AY927"/>
    <mergeCell ref="M645:P645"/>
    <mergeCell ref="M646:P646"/>
    <mergeCell ref="W646:Y646"/>
    <mergeCell ref="Z662:AK662"/>
    <mergeCell ref="P655:R655"/>
    <mergeCell ref="AI655:AK655"/>
    <mergeCell ref="G662:R662"/>
    <mergeCell ref="G661:R661"/>
    <mergeCell ref="AE704:AI704"/>
    <mergeCell ref="K726:N726"/>
    <mergeCell ref="G726:J726"/>
    <mergeCell ref="G678:R678"/>
    <mergeCell ref="Z677:AK677"/>
    <mergeCell ref="E715:AK715"/>
    <mergeCell ref="W714:AK714"/>
    <mergeCell ref="AH757:AJ757"/>
    <mergeCell ref="G727:J727"/>
    <mergeCell ref="AC735:AG735"/>
    <mergeCell ref="X732:AB732"/>
    <mergeCell ref="O737:S737"/>
    <mergeCell ref="P695:R695"/>
    <mergeCell ref="R713:T713"/>
    <mergeCell ref="O739:S739"/>
    <mergeCell ref="T726:W726"/>
    <mergeCell ref="O729:S729"/>
    <mergeCell ref="K730:N730"/>
    <mergeCell ref="K731:N731"/>
    <mergeCell ref="T731:W731"/>
    <mergeCell ref="K729:N729"/>
    <mergeCell ref="AE701:AF701"/>
    <mergeCell ref="C845:AJ845"/>
    <mergeCell ref="M837:P837"/>
    <mergeCell ref="Z823:AE823"/>
    <mergeCell ref="Z816:AE816"/>
    <mergeCell ref="AC785:AG785"/>
    <mergeCell ref="T802:W802"/>
    <mergeCell ref="T800:W800"/>
    <mergeCell ref="O785:S785"/>
    <mergeCell ref="X796:AB796"/>
    <mergeCell ref="Q837:T837"/>
    <mergeCell ref="T799:W799"/>
    <mergeCell ref="BD911:BE911"/>
    <mergeCell ref="BD909:BE909"/>
    <mergeCell ref="AC902:AH902"/>
    <mergeCell ref="W857:AC857"/>
    <mergeCell ref="M886:V886"/>
    <mergeCell ref="W878:AC878"/>
    <mergeCell ref="AC893:AH893"/>
    <mergeCell ref="W886:AC886"/>
    <mergeCell ref="BD908:BE908"/>
    <mergeCell ref="BD910:BE910"/>
    <mergeCell ref="AC895:AH895"/>
    <mergeCell ref="Y833:AB833"/>
    <mergeCell ref="AC833:AF833"/>
    <mergeCell ref="Q838:T838"/>
    <mergeCell ref="AG839:AJ839"/>
    <mergeCell ref="F938:T938"/>
    <mergeCell ref="AC896:AH896"/>
    <mergeCell ref="BD913:BE913"/>
    <mergeCell ref="BD915:BF915"/>
    <mergeCell ref="BD914:BF914"/>
    <mergeCell ref="BD919:BE919"/>
    <mergeCell ref="BD912:BE912"/>
    <mergeCell ref="AC898:AH898"/>
    <mergeCell ref="AC903:AH903"/>
    <mergeCell ref="Z908:AE908"/>
    <mergeCell ref="AC897:AH897"/>
    <mergeCell ref="B762:AH763"/>
    <mergeCell ref="X782:AB782"/>
    <mergeCell ref="T781:W781"/>
    <mergeCell ref="J781:N781"/>
    <mergeCell ref="O781:S781"/>
    <mergeCell ref="J784:N784"/>
    <mergeCell ref="U831:X832"/>
    <mergeCell ref="Q831:T832"/>
    <mergeCell ref="Z817:AE817"/>
    <mergeCell ref="J857:V857"/>
    <mergeCell ref="W854:AC854"/>
    <mergeCell ref="M838:P838"/>
    <mergeCell ref="C840:L840"/>
    <mergeCell ref="W865:AC865"/>
    <mergeCell ref="M883:V883"/>
    <mergeCell ref="Y839:AB839"/>
    <mergeCell ref="W859:AC859"/>
    <mergeCell ref="W863:AC863"/>
    <mergeCell ref="W860:AC860"/>
    <mergeCell ref="F946:T946"/>
    <mergeCell ref="U946:Z946"/>
    <mergeCell ref="AA946:AF946"/>
    <mergeCell ref="E894:AB894"/>
    <mergeCell ref="AZ859:BA859"/>
    <mergeCell ref="AC899:AH899"/>
    <mergeCell ref="W887:AC887"/>
    <mergeCell ref="U940:Z940"/>
    <mergeCell ref="F924:T924"/>
    <mergeCell ref="AA935:AF935"/>
    <mergeCell ref="U936:Z936"/>
    <mergeCell ref="AA936:AF936"/>
    <mergeCell ref="W850:AC850"/>
    <mergeCell ref="W855:AC855"/>
    <mergeCell ref="W885:AC885"/>
    <mergeCell ref="M869:V869"/>
    <mergeCell ref="W853:AC853"/>
    <mergeCell ref="M854:V854"/>
    <mergeCell ref="W884:AC884"/>
    <mergeCell ref="T866:V866"/>
    <mergeCell ref="T868:V868"/>
    <mergeCell ref="W876:AC876"/>
    <mergeCell ref="W870:AC870"/>
    <mergeCell ref="W880:AC880"/>
    <mergeCell ref="W862:AC862"/>
    <mergeCell ref="W883:AC883"/>
    <mergeCell ref="AA940:AF940"/>
    <mergeCell ref="U941:Z941"/>
    <mergeCell ref="AA941:AF941"/>
    <mergeCell ref="T797:W797"/>
    <mergeCell ref="O803:S803"/>
    <mergeCell ref="AC799:AG799"/>
    <mergeCell ref="J802:N802"/>
    <mergeCell ref="J797:N797"/>
    <mergeCell ref="X803:AB803"/>
    <mergeCell ref="O800:S800"/>
    <mergeCell ref="J799:N799"/>
    <mergeCell ref="X800:AB800"/>
    <mergeCell ref="U836:X836"/>
    <mergeCell ref="AG836:AJ836"/>
    <mergeCell ref="Z815:AE815"/>
    <mergeCell ref="AC797:AG797"/>
    <mergeCell ref="AC798:AG798"/>
    <mergeCell ref="Z826:AE826"/>
    <mergeCell ref="T803:W803"/>
    <mergeCell ref="AC836:AF836"/>
    <mergeCell ref="J800:N800"/>
    <mergeCell ref="Z814:AE814"/>
    <mergeCell ref="X799:AB799"/>
    <mergeCell ref="Q835:T835"/>
    <mergeCell ref="M836:P836"/>
    <mergeCell ref="M835:P835"/>
    <mergeCell ref="J805:N805"/>
    <mergeCell ref="J803:N803"/>
    <mergeCell ref="M833:P833"/>
    <mergeCell ref="U834:X834"/>
    <mergeCell ref="AG837:AJ837"/>
    <mergeCell ref="AG834:AJ834"/>
    <mergeCell ref="AG833:AJ833"/>
    <mergeCell ref="C837:H837"/>
    <mergeCell ref="U837:X837"/>
    <mergeCell ref="X760:AB760"/>
    <mergeCell ref="Q836:T836"/>
    <mergeCell ref="T736:W736"/>
    <mergeCell ref="AC748:AG748"/>
    <mergeCell ref="AC749:AG749"/>
    <mergeCell ref="AC745:AG745"/>
    <mergeCell ref="J777:N780"/>
    <mergeCell ref="AG831:AJ832"/>
    <mergeCell ref="AC805:AG805"/>
    <mergeCell ref="AC795:AG795"/>
    <mergeCell ref="AC761:AG761"/>
    <mergeCell ref="O761:S761"/>
    <mergeCell ref="AC750:AG750"/>
    <mergeCell ref="AC751:AG751"/>
    <mergeCell ref="AC752:AG752"/>
    <mergeCell ref="AC753:AG753"/>
    <mergeCell ref="AC754:AG754"/>
    <mergeCell ref="AC834:AF834"/>
    <mergeCell ref="AC835:AF835"/>
    <mergeCell ref="B742:F742"/>
    <mergeCell ref="X797:AB797"/>
    <mergeCell ref="B736:F736"/>
    <mergeCell ref="K745:N745"/>
    <mergeCell ref="C834:H834"/>
    <mergeCell ref="K760:N760"/>
    <mergeCell ref="O805:S805"/>
    <mergeCell ref="O796:S796"/>
    <mergeCell ref="O731:S731"/>
    <mergeCell ref="O798:S798"/>
    <mergeCell ref="Z822:AE822"/>
    <mergeCell ref="Z825:AE825"/>
    <mergeCell ref="P824:Y824"/>
    <mergeCell ref="Z821:AE821"/>
    <mergeCell ref="C806:AN807"/>
    <mergeCell ref="J801:N801"/>
    <mergeCell ref="X801:AB801"/>
    <mergeCell ref="T791:W794"/>
    <mergeCell ref="X781:AB781"/>
    <mergeCell ref="O797:S797"/>
    <mergeCell ref="J783:N783"/>
    <mergeCell ref="AC784:AG784"/>
    <mergeCell ref="O791:S794"/>
    <mergeCell ref="AK754:AO754"/>
    <mergeCell ref="AH734:AJ734"/>
    <mergeCell ref="T738:W738"/>
    <mergeCell ref="T734:W734"/>
    <mergeCell ref="X802:AB802"/>
    <mergeCell ref="T784:W784"/>
    <mergeCell ref="T782:W782"/>
    <mergeCell ref="Y808:AC808"/>
    <mergeCell ref="AC804:AG804"/>
    <mergeCell ref="AC796:AG796"/>
    <mergeCell ref="X751:AB751"/>
    <mergeCell ref="X752:AB752"/>
    <mergeCell ref="AH751:AJ751"/>
    <mergeCell ref="AH752:AJ752"/>
    <mergeCell ref="G739:J739"/>
    <mergeCell ref="T795:W795"/>
    <mergeCell ref="T796:W796"/>
    <mergeCell ref="C836:H836"/>
    <mergeCell ref="AC800:AG800"/>
    <mergeCell ref="O795:S795"/>
    <mergeCell ref="Q834:T834"/>
    <mergeCell ref="Y831:AB832"/>
    <mergeCell ref="G732:J732"/>
    <mergeCell ref="T737:W737"/>
    <mergeCell ref="K737:N737"/>
    <mergeCell ref="C833:H833"/>
    <mergeCell ref="G735:J735"/>
    <mergeCell ref="N681:O681"/>
    <mergeCell ref="G695:L695"/>
    <mergeCell ref="G613:L613"/>
    <mergeCell ref="H614:R614"/>
    <mergeCell ref="G618:R618"/>
    <mergeCell ref="B726:F726"/>
    <mergeCell ref="G728:J728"/>
    <mergeCell ref="B729:F729"/>
    <mergeCell ref="B761:F761"/>
    <mergeCell ref="O760:S760"/>
    <mergeCell ref="G621:L621"/>
    <mergeCell ref="AA614:AK614"/>
    <mergeCell ref="AG665:AH665"/>
    <mergeCell ref="Z642:AB642"/>
    <mergeCell ref="Y809:AC809"/>
    <mergeCell ref="O782:S782"/>
    <mergeCell ref="O802:S802"/>
    <mergeCell ref="X777:AB780"/>
    <mergeCell ref="T777:W780"/>
    <mergeCell ref="AC801:AG801"/>
    <mergeCell ref="X783:AB783"/>
    <mergeCell ref="X784:AB784"/>
    <mergeCell ref="G668:R668"/>
    <mergeCell ref="T642:V642"/>
    <mergeCell ref="AF642:AJ642"/>
    <mergeCell ref="W645:Y645"/>
    <mergeCell ref="O801:S801"/>
    <mergeCell ref="J798:N798"/>
    <mergeCell ref="G610:R610"/>
    <mergeCell ref="G617:R617"/>
    <mergeCell ref="M636:P636"/>
    <mergeCell ref="Z613:AE613"/>
    <mergeCell ref="Z617:AK617"/>
    <mergeCell ref="N615:O615"/>
    <mergeCell ref="G722:J725"/>
    <mergeCell ref="G676:R676"/>
    <mergeCell ref="AH753:AJ753"/>
    <mergeCell ref="AH754:AJ754"/>
    <mergeCell ref="AH755:AJ755"/>
    <mergeCell ref="AH756:AJ756"/>
    <mergeCell ref="AK737:AO737"/>
    <mergeCell ref="G738:J738"/>
    <mergeCell ref="X738:AB738"/>
    <mergeCell ref="O741:S741"/>
    <mergeCell ref="AH741:AJ741"/>
    <mergeCell ref="G741:J741"/>
    <mergeCell ref="K738:N738"/>
    <mergeCell ref="K733:N733"/>
    <mergeCell ref="X728:AB728"/>
    <mergeCell ref="AH737:AJ737"/>
    <mergeCell ref="O738:S738"/>
    <mergeCell ref="AK735:AO735"/>
    <mergeCell ref="AH732:AJ732"/>
    <mergeCell ref="P613:R613"/>
    <mergeCell ref="G669:R669"/>
    <mergeCell ref="B728:F728"/>
    <mergeCell ref="B730:F730"/>
    <mergeCell ref="AG681:AH681"/>
    <mergeCell ref="B733:F733"/>
    <mergeCell ref="B732:F732"/>
    <mergeCell ref="B735:F735"/>
    <mergeCell ref="H688:R688"/>
    <mergeCell ref="B731:F731"/>
    <mergeCell ref="AF638:AJ638"/>
    <mergeCell ref="G693:R693"/>
    <mergeCell ref="M643:P643"/>
    <mergeCell ref="G654:R654"/>
    <mergeCell ref="Z660:AK660"/>
    <mergeCell ref="G729:J729"/>
    <mergeCell ref="G760:J760"/>
    <mergeCell ref="X730:AB730"/>
    <mergeCell ref="Z693:AK693"/>
    <mergeCell ref="AE706:AI706"/>
    <mergeCell ref="AC722:AG725"/>
    <mergeCell ref="AC645:AE645"/>
    <mergeCell ref="T749:W749"/>
    <mergeCell ref="G730:J730"/>
    <mergeCell ref="B737:F737"/>
    <mergeCell ref="B739:F739"/>
    <mergeCell ref="B738:F738"/>
    <mergeCell ref="G691:R691"/>
    <mergeCell ref="N689:O689"/>
    <mergeCell ref="X727:AB727"/>
    <mergeCell ref="G694:R694"/>
    <mergeCell ref="C643:L643"/>
    <mergeCell ref="Z641:AB641"/>
    <mergeCell ref="Z578:AK578"/>
    <mergeCell ref="T573:V573"/>
    <mergeCell ref="C568:L568"/>
    <mergeCell ref="Z568:AD568"/>
    <mergeCell ref="AI571:AL571"/>
    <mergeCell ref="Z571:AD571"/>
    <mergeCell ref="T568:V568"/>
    <mergeCell ref="G578:R578"/>
    <mergeCell ref="Z569:AD569"/>
    <mergeCell ref="G594:R594"/>
    <mergeCell ref="W568:Y568"/>
    <mergeCell ref="P580:R580"/>
    <mergeCell ref="AI613:AK613"/>
    <mergeCell ref="G612:R612"/>
    <mergeCell ref="G585:R585"/>
    <mergeCell ref="C569:L569"/>
    <mergeCell ref="W571:Y571"/>
    <mergeCell ref="W572:Y572"/>
    <mergeCell ref="W573:Y573"/>
    <mergeCell ref="AF582:AK582"/>
    <mergeCell ref="G597:L597"/>
    <mergeCell ref="G579:R579"/>
    <mergeCell ref="T570:V570"/>
    <mergeCell ref="H598:R598"/>
    <mergeCell ref="G577:R577"/>
    <mergeCell ref="H590:R590"/>
    <mergeCell ref="Z587:AK587"/>
    <mergeCell ref="G609:R609"/>
    <mergeCell ref="AA581:AK581"/>
    <mergeCell ref="AG607:AH607"/>
    <mergeCell ref="G603:R603"/>
    <mergeCell ref="G604:R604"/>
    <mergeCell ref="G576:R576"/>
    <mergeCell ref="AA345:AK345"/>
    <mergeCell ref="H342:R342"/>
    <mergeCell ref="Q501:AK501"/>
    <mergeCell ref="AC510:AF510"/>
    <mergeCell ref="B522:H524"/>
    <mergeCell ref="B525:H527"/>
    <mergeCell ref="D415:AJ416"/>
    <mergeCell ref="D454:AF454"/>
    <mergeCell ref="D460:AJ461"/>
    <mergeCell ref="AA348:AF348"/>
    <mergeCell ref="S497:AK498"/>
    <mergeCell ref="AG456:AJ456"/>
    <mergeCell ref="AC463:AF463"/>
    <mergeCell ref="P434:Q434"/>
    <mergeCell ref="I427:K427"/>
    <mergeCell ref="S422:T422"/>
    <mergeCell ref="H347:R347"/>
    <mergeCell ref="AG402:AJ402"/>
    <mergeCell ref="Q566:S566"/>
    <mergeCell ref="AH520:AK520"/>
    <mergeCell ref="M565:P565"/>
    <mergeCell ref="AH528:AK528"/>
    <mergeCell ref="AC545:AF545"/>
    <mergeCell ref="O534:AA534"/>
    <mergeCell ref="AC537:AF537"/>
    <mergeCell ref="AH538:AK538"/>
    <mergeCell ref="Z564:AD564"/>
    <mergeCell ref="AI563:AL563"/>
    <mergeCell ref="AG400:AJ400"/>
    <mergeCell ref="K413:AJ413"/>
    <mergeCell ref="Z443:AA443"/>
    <mergeCell ref="K412:AJ412"/>
    <mergeCell ref="P355:AE355"/>
    <mergeCell ref="W477:Y477"/>
    <mergeCell ref="Q500:AK500"/>
    <mergeCell ref="AF427:AH427"/>
    <mergeCell ref="AJ366:AK366"/>
    <mergeCell ref="AC511:AF511"/>
    <mergeCell ref="AC521:AF521"/>
    <mergeCell ref="AA331:AK331"/>
    <mergeCell ref="H301:M301"/>
    <mergeCell ref="H318:R318"/>
    <mergeCell ref="O537:AA537"/>
    <mergeCell ref="AH541:AK541"/>
    <mergeCell ref="M365:N365"/>
    <mergeCell ref="B528:H550"/>
    <mergeCell ref="Z441:AA441"/>
    <mergeCell ref="Q495:AK495"/>
    <mergeCell ref="Q494:AK494"/>
    <mergeCell ref="AH510:AK510"/>
    <mergeCell ref="AC507:AK507"/>
    <mergeCell ref="W476:Y476"/>
    <mergeCell ref="B511:H516"/>
    <mergeCell ref="D459:AF459"/>
    <mergeCell ref="N379:Q379"/>
    <mergeCell ref="AH508:AK508"/>
    <mergeCell ref="H340:M340"/>
    <mergeCell ref="H350:R350"/>
    <mergeCell ref="H344:R344"/>
    <mergeCell ref="AA342:AK342"/>
    <mergeCell ref="H348:M348"/>
    <mergeCell ref="D477:V477"/>
    <mergeCell ref="AH535:AK535"/>
    <mergeCell ref="Q403:U403"/>
    <mergeCell ref="AD421:AE421"/>
    <mergeCell ref="H423:AE424"/>
    <mergeCell ref="AE434:AF434"/>
    <mergeCell ref="AC528:AF528"/>
    <mergeCell ref="AC535:AF535"/>
    <mergeCell ref="AH529:AK529"/>
    <mergeCell ref="AC538:AF538"/>
    <mergeCell ref="M272:R272"/>
    <mergeCell ref="M274:T274"/>
    <mergeCell ref="AA323:AK323"/>
    <mergeCell ref="AA322:AK322"/>
    <mergeCell ref="H328:R328"/>
    <mergeCell ref="AA325:AF325"/>
    <mergeCell ref="AA306:AK306"/>
    <mergeCell ref="H297:R297"/>
    <mergeCell ref="D481:V481"/>
    <mergeCell ref="D478:V478"/>
    <mergeCell ref="D447:AF447"/>
    <mergeCell ref="AA334:AK334"/>
    <mergeCell ref="H324:M324"/>
    <mergeCell ref="H330:R330"/>
    <mergeCell ref="H331:R331"/>
    <mergeCell ref="L285:S285"/>
    <mergeCell ref="L287:Q287"/>
    <mergeCell ref="AA298:AK298"/>
    <mergeCell ref="H316:M316"/>
    <mergeCell ref="H338:R338"/>
    <mergeCell ref="H339:R339"/>
    <mergeCell ref="P340:R340"/>
    <mergeCell ref="AA333:AF333"/>
    <mergeCell ref="AC395:AJ395"/>
    <mergeCell ref="AA340:AF340"/>
    <mergeCell ref="P324:R324"/>
    <mergeCell ref="N372:O372"/>
    <mergeCell ref="AA346:AK346"/>
    <mergeCell ref="H337:R337"/>
    <mergeCell ref="AI332:AK332"/>
    <mergeCell ref="AA329:AK329"/>
    <mergeCell ref="H326:R326"/>
    <mergeCell ref="P332:R332"/>
    <mergeCell ref="AA324:AF324"/>
    <mergeCell ref="P358:AE358"/>
    <mergeCell ref="AA307:AK307"/>
    <mergeCell ref="AA301:AF301"/>
    <mergeCell ref="M262:T262"/>
    <mergeCell ref="L283:AJ283"/>
    <mergeCell ref="H298:R298"/>
    <mergeCell ref="H300:M300"/>
    <mergeCell ref="H308:M308"/>
    <mergeCell ref="H309:M309"/>
    <mergeCell ref="AA266:AK266"/>
    <mergeCell ref="M269:AE269"/>
    <mergeCell ref="AA274:AK274"/>
    <mergeCell ref="H304:R304"/>
    <mergeCell ref="M270:T270"/>
    <mergeCell ref="H307:R307"/>
    <mergeCell ref="H321:R321"/>
    <mergeCell ref="AI316:AK316"/>
    <mergeCell ref="H313:R313"/>
    <mergeCell ref="H312:R312"/>
    <mergeCell ref="H336:R336"/>
    <mergeCell ref="H315:R315"/>
    <mergeCell ref="AA313:AK313"/>
    <mergeCell ref="H323:R323"/>
    <mergeCell ref="H325:M325"/>
    <mergeCell ref="M263:AE263"/>
    <mergeCell ref="AA299:AK299"/>
    <mergeCell ref="AH271:AK271"/>
    <mergeCell ref="T276:X276"/>
    <mergeCell ref="AA328:AK328"/>
    <mergeCell ref="AA300:AF300"/>
    <mergeCell ref="AI300:AK300"/>
    <mergeCell ref="AA332:AF332"/>
    <mergeCell ref="H329:R329"/>
    <mergeCell ref="H305:R305"/>
    <mergeCell ref="H332:M332"/>
    <mergeCell ref="AA339:AK339"/>
    <mergeCell ref="H333:M333"/>
    <mergeCell ref="AH263:AK263"/>
    <mergeCell ref="M268:AE268"/>
    <mergeCell ref="AA302:AK302"/>
    <mergeCell ref="L289:AD289"/>
    <mergeCell ref="L284:AD284"/>
    <mergeCell ref="H299:R299"/>
    <mergeCell ref="V285:W285"/>
    <mergeCell ref="AA310:AK310"/>
    <mergeCell ref="AA305:AK305"/>
    <mergeCell ref="H310:R310"/>
    <mergeCell ref="L286:AD286"/>
    <mergeCell ref="Z272:AE272"/>
    <mergeCell ref="AA318:AK318"/>
    <mergeCell ref="AA316:AF316"/>
    <mergeCell ref="AA314:AK314"/>
    <mergeCell ref="AA326:AK326"/>
    <mergeCell ref="AA341:AF341"/>
    <mergeCell ref="AA337:AK337"/>
    <mergeCell ref="AA336:AK336"/>
    <mergeCell ref="H341:M341"/>
    <mergeCell ref="AI324:AK324"/>
    <mergeCell ref="AA321:AK321"/>
    <mergeCell ref="AA338:AK338"/>
    <mergeCell ref="AA330:AK330"/>
    <mergeCell ref="H334:R334"/>
    <mergeCell ref="AF260:AK260"/>
    <mergeCell ref="M253:AE253"/>
    <mergeCell ref="M256:R256"/>
    <mergeCell ref="O159:T159"/>
    <mergeCell ref="T287:V287"/>
    <mergeCell ref="P300:R300"/>
    <mergeCell ref="AA296:AK296"/>
    <mergeCell ref="P205:U205"/>
    <mergeCell ref="M248:AE248"/>
    <mergeCell ref="AF178:AG178"/>
    <mergeCell ref="I190:N190"/>
    <mergeCell ref="M254:T254"/>
    <mergeCell ref="M255:AE255"/>
    <mergeCell ref="AC254:AE254"/>
    <mergeCell ref="X176:Y176"/>
    <mergeCell ref="L288:AD288"/>
    <mergeCell ref="AI235:AJ235"/>
    <mergeCell ref="Z264:AE264"/>
    <mergeCell ref="M264:R264"/>
    <mergeCell ref="A291:AT292"/>
    <mergeCell ref="AA247:AK247"/>
    <mergeCell ref="M260:AE260"/>
    <mergeCell ref="X180:Y180"/>
    <mergeCell ref="AP205:AQ205"/>
    <mergeCell ref="AI238:AJ238"/>
    <mergeCell ref="U175:V175"/>
    <mergeCell ref="R177:S177"/>
    <mergeCell ref="M252:AE252"/>
    <mergeCell ref="D204:M204"/>
    <mergeCell ref="M247:T247"/>
    <mergeCell ref="T197:U197"/>
    <mergeCell ref="W262:X262"/>
    <mergeCell ref="M261:AE261"/>
    <mergeCell ref="A86:AT87"/>
    <mergeCell ref="A89:AT90"/>
    <mergeCell ref="A92:AT98"/>
    <mergeCell ref="A100:AT103"/>
    <mergeCell ref="I184:AE184"/>
    <mergeCell ref="Y117:AK117"/>
    <mergeCell ref="T190:AE190"/>
    <mergeCell ref="M241:AK241"/>
    <mergeCell ref="A105:AT106"/>
    <mergeCell ref="L113:O113"/>
    <mergeCell ref="O158:R158"/>
    <mergeCell ref="W159:X159"/>
    <mergeCell ref="A169:AT170"/>
    <mergeCell ref="M258:T258"/>
    <mergeCell ref="Z256:AE256"/>
    <mergeCell ref="W254:X254"/>
    <mergeCell ref="U256:W256"/>
    <mergeCell ref="T196:U196"/>
    <mergeCell ref="D220:Z220"/>
    <mergeCell ref="T193:AI193"/>
    <mergeCell ref="AI236:AJ236"/>
    <mergeCell ref="Y123:AK123"/>
    <mergeCell ref="M246:AE246"/>
    <mergeCell ref="AA258:AK258"/>
    <mergeCell ref="M257:AE257"/>
    <mergeCell ref="P113:S113"/>
    <mergeCell ref="AF252:AK252"/>
    <mergeCell ref="M243:T243"/>
    <mergeCell ref="W243:X243"/>
    <mergeCell ref="T212:U212"/>
    <mergeCell ref="F150:T150"/>
    <mergeCell ref="A75:AT77"/>
    <mergeCell ref="A79:AT81"/>
    <mergeCell ref="AB215:AL215"/>
    <mergeCell ref="T198:U198"/>
    <mergeCell ref="Q212:R212"/>
    <mergeCell ref="D214:Z214"/>
    <mergeCell ref="AB216:AL216"/>
    <mergeCell ref="M245:R245"/>
    <mergeCell ref="Z245:AE245"/>
    <mergeCell ref="G113:H113"/>
    <mergeCell ref="C115:K115"/>
    <mergeCell ref="O161:AH161"/>
    <mergeCell ref="D164:AH164"/>
    <mergeCell ref="P204:U204"/>
    <mergeCell ref="AH195:AI195"/>
    <mergeCell ref="AH196:AI196"/>
    <mergeCell ref="U176:V176"/>
    <mergeCell ref="A83:AT84"/>
    <mergeCell ref="T199:U199"/>
    <mergeCell ref="AC243:AE243"/>
    <mergeCell ref="D208:M208"/>
    <mergeCell ref="M242:AE242"/>
    <mergeCell ref="N191:AE192"/>
    <mergeCell ref="D211:M211"/>
    <mergeCell ref="AI237:AJ237"/>
    <mergeCell ref="M244:AE244"/>
    <mergeCell ref="I185:AE185"/>
    <mergeCell ref="U245:W245"/>
    <mergeCell ref="T189:AE189"/>
    <mergeCell ref="Y120:AK120"/>
    <mergeCell ref="O160:T160"/>
    <mergeCell ref="AI178:AK178"/>
    <mergeCell ref="AC262:AE262"/>
    <mergeCell ref="AH255:AK255"/>
    <mergeCell ref="AA320:AK320"/>
    <mergeCell ref="AA315:AK315"/>
    <mergeCell ref="AA312:AK312"/>
    <mergeCell ref="D279:H279"/>
    <mergeCell ref="X279:AC279"/>
    <mergeCell ref="H320:R320"/>
    <mergeCell ref="H317:M317"/>
    <mergeCell ref="P316:R316"/>
    <mergeCell ref="H314:R314"/>
    <mergeCell ref="AA297:AK297"/>
    <mergeCell ref="H296:R296"/>
    <mergeCell ref="U264:W264"/>
    <mergeCell ref="P308:R308"/>
    <mergeCell ref="H302:R302"/>
    <mergeCell ref="M273:AE273"/>
    <mergeCell ref="AB285:AD285"/>
    <mergeCell ref="Y287:AD287"/>
    <mergeCell ref="AA304:AK304"/>
    <mergeCell ref="AF268:AK268"/>
    <mergeCell ref="AC270:AE270"/>
    <mergeCell ref="M271:AE271"/>
    <mergeCell ref="AA308:AF308"/>
    <mergeCell ref="AI308:AK308"/>
    <mergeCell ref="H306:R306"/>
    <mergeCell ref="AA309:AF309"/>
    <mergeCell ref="W270:X270"/>
    <mergeCell ref="U272:W272"/>
    <mergeCell ref="M266:T266"/>
    <mergeCell ref="M265:AE265"/>
    <mergeCell ref="AA317:AF317"/>
    <mergeCell ref="J173:S173"/>
    <mergeCell ref="O155:AH155"/>
    <mergeCell ref="O153:AH153"/>
    <mergeCell ref="O154:AH154"/>
    <mergeCell ref="O156:AH156"/>
    <mergeCell ref="O157:X157"/>
    <mergeCell ref="T195:U195"/>
    <mergeCell ref="E187:AE188"/>
    <mergeCell ref="I189:P189"/>
    <mergeCell ref="AH197:AI197"/>
    <mergeCell ref="Z205:AN205"/>
    <mergeCell ref="A231:AT232"/>
    <mergeCell ref="T200:U200"/>
    <mergeCell ref="X198:AT199"/>
    <mergeCell ref="AH194:AI194"/>
    <mergeCell ref="AC220:AQ220"/>
    <mergeCell ref="D205:M205"/>
    <mergeCell ref="J174:AB174"/>
    <mergeCell ref="V225:W225"/>
    <mergeCell ref="V224:W224"/>
    <mergeCell ref="V226:W226"/>
    <mergeCell ref="V227:W227"/>
    <mergeCell ref="V228:W228"/>
    <mergeCell ref="V229:W229"/>
    <mergeCell ref="H322:R322"/>
    <mergeCell ref="AC465:AF465"/>
    <mergeCell ref="Q402:U402"/>
    <mergeCell ref="AG389:AH389"/>
    <mergeCell ref="M364:N364"/>
    <mergeCell ref="D448:AF448"/>
    <mergeCell ref="AI406:AJ406"/>
    <mergeCell ref="T408:AJ408"/>
    <mergeCell ref="AI348:AK348"/>
    <mergeCell ref="P357:Z357"/>
    <mergeCell ref="N382:AF383"/>
    <mergeCell ref="AJ364:AK364"/>
    <mergeCell ref="AG451:AJ451"/>
    <mergeCell ref="AG386:AH386"/>
    <mergeCell ref="E427:G427"/>
    <mergeCell ref="AD420:AE420"/>
    <mergeCell ref="F436:AH437"/>
    <mergeCell ref="J396:U396"/>
    <mergeCell ref="AA344:AK344"/>
    <mergeCell ref="AC356:AE356"/>
    <mergeCell ref="P352:AE352"/>
    <mergeCell ref="AA349:AF349"/>
    <mergeCell ref="P353:AE353"/>
    <mergeCell ref="AA347:AK347"/>
    <mergeCell ref="H346:R346"/>
    <mergeCell ref="P354:AE354"/>
    <mergeCell ref="R421:S421"/>
    <mergeCell ref="Q438:R438"/>
    <mergeCell ref="D457:AF457"/>
    <mergeCell ref="AG454:AJ454"/>
    <mergeCell ref="H345:R345"/>
    <mergeCell ref="P356:Z356"/>
    <mergeCell ref="J395:U395"/>
    <mergeCell ref="T407:AJ407"/>
    <mergeCell ref="AG449:AJ449"/>
    <mergeCell ref="S410:U410"/>
    <mergeCell ref="AG410:AJ410"/>
    <mergeCell ref="AC396:AJ396"/>
    <mergeCell ref="V397:AJ397"/>
    <mergeCell ref="D452:AF452"/>
    <mergeCell ref="P348:R348"/>
    <mergeCell ref="AA350:AK350"/>
    <mergeCell ref="E377:AH378"/>
    <mergeCell ref="Q374:AG374"/>
    <mergeCell ref="H349:M349"/>
    <mergeCell ref="AJ365:AK365"/>
    <mergeCell ref="AD386:AE386"/>
    <mergeCell ref="AC380:AF380"/>
    <mergeCell ref="AC379:AF379"/>
    <mergeCell ref="V386:W386"/>
    <mergeCell ref="S386:T386"/>
    <mergeCell ref="Y373:Z373"/>
    <mergeCell ref="N387:P387"/>
    <mergeCell ref="W427:Y427"/>
    <mergeCell ref="AG448:AJ448"/>
    <mergeCell ref="AE433:AF433"/>
    <mergeCell ref="N380:Q380"/>
    <mergeCell ref="V391:W391"/>
    <mergeCell ref="J376:K376"/>
    <mergeCell ref="S414:AJ414"/>
    <mergeCell ref="AC394:AJ394"/>
    <mergeCell ref="S411:U411"/>
    <mergeCell ref="P433:Q433"/>
    <mergeCell ref="AG403:AJ403"/>
    <mergeCell ref="J397:U397"/>
    <mergeCell ref="P427:R427"/>
    <mergeCell ref="M503:P503"/>
    <mergeCell ref="AC509:AF509"/>
    <mergeCell ref="AG447:AJ447"/>
    <mergeCell ref="B509:H510"/>
    <mergeCell ref="O531:AA531"/>
    <mergeCell ref="D458:AF458"/>
    <mergeCell ref="Q562:S562"/>
    <mergeCell ref="AC518:AF518"/>
    <mergeCell ref="AH522:AK522"/>
    <mergeCell ref="Q399:U399"/>
    <mergeCell ref="I419:AE419"/>
    <mergeCell ref="AG404:AJ404"/>
    <mergeCell ref="M566:P566"/>
    <mergeCell ref="D449:AF449"/>
    <mergeCell ref="W565:Y565"/>
    <mergeCell ref="AC534:AF534"/>
    <mergeCell ref="AE411:AJ411"/>
    <mergeCell ref="D455:AF455"/>
    <mergeCell ref="AH511:AK511"/>
    <mergeCell ref="AC508:AF508"/>
    <mergeCell ref="AH540:AK540"/>
    <mergeCell ref="AC530:AF530"/>
    <mergeCell ref="T562:V562"/>
    <mergeCell ref="AC532:AF532"/>
    <mergeCell ref="AH514:AK514"/>
    <mergeCell ref="AH516:AK516"/>
    <mergeCell ref="AC548:AF548"/>
    <mergeCell ref="AC516:AF516"/>
    <mergeCell ref="D450:AF450"/>
    <mergeCell ref="C635:L635"/>
    <mergeCell ref="P589:R589"/>
    <mergeCell ref="AI398:AJ398"/>
    <mergeCell ref="AG455:AJ455"/>
    <mergeCell ref="Q573:S573"/>
    <mergeCell ref="Q569:S569"/>
    <mergeCell ref="N591:O591"/>
    <mergeCell ref="Q565:S565"/>
    <mergeCell ref="C564:L564"/>
    <mergeCell ref="M564:P564"/>
    <mergeCell ref="C567:L567"/>
    <mergeCell ref="B559:L561"/>
    <mergeCell ref="E429:AJ429"/>
    <mergeCell ref="D446:AF446"/>
    <mergeCell ref="D451:AF451"/>
    <mergeCell ref="AF439:AG439"/>
    <mergeCell ref="AG446:AJ446"/>
    <mergeCell ref="AG458:AJ458"/>
    <mergeCell ref="Z563:AD563"/>
    <mergeCell ref="O543:AA543"/>
    <mergeCell ref="AH531:AK531"/>
    <mergeCell ref="AE562:AH562"/>
    <mergeCell ref="I430:K430"/>
    <mergeCell ref="AH532:AK532"/>
    <mergeCell ref="AH533:AK533"/>
    <mergeCell ref="AC515:AF515"/>
    <mergeCell ref="AH524:AK524"/>
    <mergeCell ref="W569:Y569"/>
    <mergeCell ref="AG452:AJ452"/>
    <mergeCell ref="AG453:AJ453"/>
    <mergeCell ref="AC549:AF549"/>
    <mergeCell ref="AI401:AJ401"/>
    <mergeCell ref="Z671:AE671"/>
    <mergeCell ref="Z651:AK651"/>
    <mergeCell ref="CZ725:DD725"/>
    <mergeCell ref="CI730:CJ730"/>
    <mergeCell ref="CG729:CH729"/>
    <mergeCell ref="CK728:CL728"/>
    <mergeCell ref="CG739:CH739"/>
    <mergeCell ref="CP730:CT730"/>
    <mergeCell ref="CP726:CT726"/>
    <mergeCell ref="CI726:CJ726"/>
    <mergeCell ref="CI732:CJ732"/>
    <mergeCell ref="CK760:CL760"/>
    <mergeCell ref="CP755:CT755"/>
    <mergeCell ref="CM739:CN739"/>
    <mergeCell ref="CG756:CH756"/>
    <mergeCell ref="CK730:CL730"/>
    <mergeCell ref="AG697:AH697"/>
    <mergeCell ref="CK727:CL727"/>
    <mergeCell ref="CG732:CH732"/>
    <mergeCell ref="CG738:CH738"/>
    <mergeCell ref="CG736:CH736"/>
    <mergeCell ref="X726:AB726"/>
    <mergeCell ref="CI757:CJ757"/>
    <mergeCell ref="CK757:CL757"/>
    <mergeCell ref="CM757:CN757"/>
    <mergeCell ref="CK758:CL758"/>
    <mergeCell ref="CM758:CN758"/>
    <mergeCell ref="CG755:CH755"/>
    <mergeCell ref="CI755:CJ755"/>
    <mergeCell ref="CK755:CL755"/>
    <mergeCell ref="CM755:CN755"/>
    <mergeCell ref="CM753:CN753"/>
    <mergeCell ref="AM563:AS563"/>
    <mergeCell ref="AI565:AL565"/>
    <mergeCell ref="T732:W732"/>
    <mergeCell ref="AM559:AS561"/>
    <mergeCell ref="AH730:AJ730"/>
    <mergeCell ref="Z595:AK595"/>
    <mergeCell ref="AI580:AK580"/>
    <mergeCell ref="T572:V572"/>
    <mergeCell ref="AM562:AS562"/>
    <mergeCell ref="AO647:AS647"/>
    <mergeCell ref="AO637:AS637"/>
    <mergeCell ref="AO646:AS646"/>
    <mergeCell ref="AC527:AF527"/>
    <mergeCell ref="AC531:AF531"/>
    <mergeCell ref="Z636:AB636"/>
    <mergeCell ref="AM568:AS568"/>
    <mergeCell ref="AH537:AK537"/>
    <mergeCell ref="AH542:AK542"/>
    <mergeCell ref="AI568:AL568"/>
    <mergeCell ref="AE563:AH563"/>
    <mergeCell ref="AH547:AK547"/>
    <mergeCell ref="AH549:AK549"/>
    <mergeCell ref="AC543:AF543"/>
    <mergeCell ref="AI562:AL562"/>
    <mergeCell ref="AI566:AL566"/>
    <mergeCell ref="T559:V561"/>
    <mergeCell ref="Z565:AD565"/>
    <mergeCell ref="Z567:AD567"/>
    <mergeCell ref="Z570:AD570"/>
    <mergeCell ref="O540:AA540"/>
    <mergeCell ref="P605:R605"/>
    <mergeCell ref="AC541:AF541"/>
    <mergeCell ref="AG388:AH388"/>
    <mergeCell ref="S401:U401"/>
    <mergeCell ref="AG399:AJ399"/>
    <mergeCell ref="Q400:U400"/>
    <mergeCell ref="N381:Q381"/>
    <mergeCell ref="AC513:AF513"/>
    <mergeCell ref="AH530:AK530"/>
    <mergeCell ref="M559:P561"/>
    <mergeCell ref="AC544:AF544"/>
    <mergeCell ref="D476:V476"/>
    <mergeCell ref="AC520:AF520"/>
    <mergeCell ref="AC550:AF550"/>
    <mergeCell ref="B497:P498"/>
    <mergeCell ref="AC514:AF514"/>
    <mergeCell ref="Q497:R498"/>
    <mergeCell ref="Q496:AK496"/>
    <mergeCell ref="AH543:AK543"/>
    <mergeCell ref="AC540:AF540"/>
    <mergeCell ref="AC539:AF539"/>
    <mergeCell ref="AC547:AF547"/>
    <mergeCell ref="L516:AB516"/>
    <mergeCell ref="O528:AA528"/>
    <mergeCell ref="AH526:AK526"/>
    <mergeCell ref="AC522:AF522"/>
    <mergeCell ref="AH546:AK546"/>
    <mergeCell ref="Q502:AK502"/>
    <mergeCell ref="AC464:AF464"/>
    <mergeCell ref="D474:V474"/>
    <mergeCell ref="Q499:AK499"/>
    <mergeCell ref="AH503:AK503"/>
    <mergeCell ref="D473:V473"/>
    <mergeCell ref="AC517:AF517"/>
    <mergeCell ref="AH545:AK545"/>
    <mergeCell ref="AC542:AF542"/>
    <mergeCell ref="AH550:AK550"/>
    <mergeCell ref="AH515:AK515"/>
    <mergeCell ref="AG459:AJ459"/>
    <mergeCell ref="D475:V475"/>
    <mergeCell ref="Q568:S568"/>
    <mergeCell ref="W475:Y475"/>
    <mergeCell ref="W478:Y478"/>
    <mergeCell ref="D479:V479"/>
    <mergeCell ref="AH513:AK513"/>
    <mergeCell ref="C562:L562"/>
    <mergeCell ref="C570:L570"/>
    <mergeCell ref="C566:L566"/>
    <mergeCell ref="Q563:S563"/>
    <mergeCell ref="Q559:S561"/>
    <mergeCell ref="M563:P563"/>
    <mergeCell ref="C563:L563"/>
    <mergeCell ref="W570:Y570"/>
    <mergeCell ref="T567:V567"/>
    <mergeCell ref="T566:V566"/>
    <mergeCell ref="Q567:S567"/>
    <mergeCell ref="W481:Y481"/>
    <mergeCell ref="AC536:AF536"/>
    <mergeCell ref="T564:V564"/>
    <mergeCell ref="W559:Y561"/>
    <mergeCell ref="AC529:AF529"/>
    <mergeCell ref="AE564:AH564"/>
    <mergeCell ref="AE567:AH567"/>
    <mergeCell ref="AC524:AF524"/>
    <mergeCell ref="AG450:AJ450"/>
    <mergeCell ref="AC546:AF546"/>
    <mergeCell ref="Z562:AD562"/>
    <mergeCell ref="AH539:AK539"/>
    <mergeCell ref="AH548:AK548"/>
    <mergeCell ref="AC523:AF523"/>
    <mergeCell ref="D456:AF456"/>
    <mergeCell ref="W474:Y474"/>
    <mergeCell ref="Q493:AK493"/>
    <mergeCell ref="AC533:AF533"/>
    <mergeCell ref="W482:Y482"/>
    <mergeCell ref="AK750:AO750"/>
    <mergeCell ref="CP753:CT753"/>
    <mergeCell ref="X750:AB750"/>
    <mergeCell ref="AH750:AJ750"/>
    <mergeCell ref="AK747:AO747"/>
    <mergeCell ref="B749:F749"/>
    <mergeCell ref="D480:V480"/>
    <mergeCell ref="W480:Y480"/>
    <mergeCell ref="AE559:AH561"/>
    <mergeCell ref="AI559:AL561"/>
    <mergeCell ref="AH518:AK518"/>
    <mergeCell ref="AA590:AK590"/>
    <mergeCell ref="H581:R581"/>
    <mergeCell ref="B574:AL574"/>
    <mergeCell ref="AE568:AH568"/>
    <mergeCell ref="N583:O583"/>
    <mergeCell ref="Z559:AD561"/>
    <mergeCell ref="AH521:AK521"/>
    <mergeCell ref="CI747:CJ747"/>
    <mergeCell ref="Z577:AK577"/>
    <mergeCell ref="AH523:AK523"/>
    <mergeCell ref="W638:Y638"/>
    <mergeCell ref="G580:L580"/>
    <mergeCell ref="CM750:CN750"/>
    <mergeCell ref="FY751:GC751"/>
    <mergeCell ref="EZ752:FD752"/>
    <mergeCell ref="FE752:FI752"/>
    <mergeCell ref="FJ752:FN752"/>
    <mergeCell ref="FO752:FS752"/>
    <mergeCell ref="FT752:FX752"/>
    <mergeCell ref="FY752:GC752"/>
    <mergeCell ref="DU751:DY751"/>
    <mergeCell ref="DZ751:ED751"/>
    <mergeCell ref="EE751:EI751"/>
    <mergeCell ref="EJ751:EN751"/>
    <mergeCell ref="EO751:ES751"/>
    <mergeCell ref="ET751:EX751"/>
    <mergeCell ref="DU752:DY752"/>
    <mergeCell ref="DZ752:ED752"/>
    <mergeCell ref="EE752:EI752"/>
    <mergeCell ref="EM671:EQ671"/>
    <mergeCell ref="ER671:EV671"/>
    <mergeCell ref="EW671:FA671"/>
    <mergeCell ref="EC667:EG667"/>
    <mergeCell ref="ET752:EX752"/>
    <mergeCell ref="FY750:GC750"/>
    <mergeCell ref="EZ751:FD751"/>
    <mergeCell ref="EW644:FA644"/>
    <mergeCell ref="ER645:EV645"/>
    <mergeCell ref="EM667:EQ667"/>
    <mergeCell ref="Z667:AK667"/>
    <mergeCell ref="AH747:AJ747"/>
    <mergeCell ref="N599:O599"/>
    <mergeCell ref="ET757:EX757"/>
    <mergeCell ref="AK642:AN642"/>
    <mergeCell ref="AK643:AN643"/>
    <mergeCell ref="AM565:AS565"/>
    <mergeCell ref="CK752:CL752"/>
    <mergeCell ref="CM752:CN752"/>
    <mergeCell ref="CG746:CH746"/>
    <mergeCell ref="CK747:CL747"/>
    <mergeCell ref="CI750:CJ750"/>
    <mergeCell ref="CP728:CT728"/>
    <mergeCell ref="CU728:CY728"/>
    <mergeCell ref="CU731:CY731"/>
    <mergeCell ref="DE735:DI735"/>
    <mergeCell ref="CZ749:DD749"/>
    <mergeCell ref="CU741:CY741"/>
    <mergeCell ref="CZ748:DD748"/>
    <mergeCell ref="CU749:CY749"/>
    <mergeCell ref="CZ747:DD747"/>
    <mergeCell ref="CK742:CL742"/>
    <mergeCell ref="ET753:EX753"/>
    <mergeCell ref="DU754:DY754"/>
    <mergeCell ref="DZ754:ED754"/>
    <mergeCell ref="EE754:EI754"/>
    <mergeCell ref="EJ754:EN754"/>
    <mergeCell ref="EO754:ES754"/>
    <mergeCell ref="ET754:EX754"/>
    <mergeCell ref="DU755:DY755"/>
    <mergeCell ref="DZ755:ED755"/>
    <mergeCell ref="ER666:EV666"/>
    <mergeCell ref="Z593:AK593"/>
    <mergeCell ref="X722:AB725"/>
    <mergeCell ref="AE702:AF702"/>
    <mergeCell ref="FY754:GC754"/>
    <mergeCell ref="EZ755:FD755"/>
    <mergeCell ref="FE755:FI755"/>
    <mergeCell ref="FT757:FX757"/>
    <mergeCell ref="FJ755:FN755"/>
    <mergeCell ref="FO755:FS755"/>
    <mergeCell ref="FT755:FX755"/>
    <mergeCell ref="FT761:FX761"/>
    <mergeCell ref="FY761:GC761"/>
    <mergeCell ref="DX643:EB643"/>
    <mergeCell ref="DX646:EB646"/>
    <mergeCell ref="EC646:EG646"/>
    <mergeCell ref="EH646:EL646"/>
    <mergeCell ref="EM646:EQ646"/>
    <mergeCell ref="ER646:EV646"/>
    <mergeCell ref="EC643:EG643"/>
    <mergeCell ref="EH643:EL643"/>
    <mergeCell ref="EM643:EQ643"/>
    <mergeCell ref="ER643:EV643"/>
    <mergeCell ref="EW643:FA643"/>
    <mergeCell ref="FY760:GC760"/>
    <mergeCell ref="EC644:EG644"/>
    <mergeCell ref="EH644:EL644"/>
    <mergeCell ref="DX644:EB644"/>
    <mergeCell ref="ER644:EV644"/>
    <mergeCell ref="EZ758:FD758"/>
    <mergeCell ref="FE758:FI758"/>
    <mergeCell ref="FJ758:FN758"/>
    <mergeCell ref="DX666:EB666"/>
    <mergeCell ref="EC666:EG666"/>
    <mergeCell ref="EH666:EL666"/>
    <mergeCell ref="EM666:EQ666"/>
    <mergeCell ref="EC668:EG668"/>
    <mergeCell ref="EZ756:FD756"/>
    <mergeCell ref="FY757:GC757"/>
    <mergeCell ref="FE754:FI754"/>
    <mergeCell ref="FJ754:FN754"/>
    <mergeCell ref="FO754:FS754"/>
    <mergeCell ref="DU749:DY749"/>
    <mergeCell ref="DZ749:ED749"/>
    <mergeCell ref="CP742:CT742"/>
    <mergeCell ref="DO755:DS755"/>
    <mergeCell ref="DU753:DY753"/>
    <mergeCell ref="DZ753:ED753"/>
    <mergeCell ref="CU748:CY748"/>
    <mergeCell ref="EJ753:EN753"/>
    <mergeCell ref="EZ749:FD749"/>
    <mergeCell ref="FE749:FI749"/>
    <mergeCell ref="FJ749:FN749"/>
    <mergeCell ref="FO749:FS749"/>
    <mergeCell ref="FY749:GC749"/>
    <mergeCell ref="EZ750:FD750"/>
    <mergeCell ref="FE751:FI751"/>
    <mergeCell ref="FJ751:FN751"/>
    <mergeCell ref="FO751:FS751"/>
    <mergeCell ref="FT751:FX751"/>
    <mergeCell ref="EW670:FA670"/>
    <mergeCell ref="DX671:EB671"/>
    <mergeCell ref="EC671:EG671"/>
    <mergeCell ref="EH671:EL671"/>
    <mergeCell ref="FY756:GC756"/>
    <mergeCell ref="CP750:CT750"/>
    <mergeCell ref="CP751:CT751"/>
    <mergeCell ref="DJ751:DN751"/>
    <mergeCell ref="FO761:FS761"/>
    <mergeCell ref="FE756:FI756"/>
    <mergeCell ref="FJ756:FN756"/>
    <mergeCell ref="FO756:FS756"/>
    <mergeCell ref="EZ753:FD753"/>
    <mergeCell ref="CU753:CY753"/>
    <mergeCell ref="EO755:ES755"/>
    <mergeCell ref="ET755:EX755"/>
    <mergeCell ref="DU756:DY756"/>
    <mergeCell ref="DZ756:ED756"/>
    <mergeCell ref="EE756:EI756"/>
    <mergeCell ref="EJ756:EN756"/>
    <mergeCell ref="EO756:ES756"/>
    <mergeCell ref="ET756:EX756"/>
    <mergeCell ref="ET749:EX749"/>
    <mergeCell ref="DU750:DY750"/>
    <mergeCell ref="DZ750:ED750"/>
    <mergeCell ref="ET750:EX750"/>
    <mergeCell ref="FE750:FI750"/>
    <mergeCell ref="FJ750:FN750"/>
    <mergeCell ref="FO750:FS750"/>
    <mergeCell ref="EE749:EI749"/>
    <mergeCell ref="EJ749:EN749"/>
    <mergeCell ref="EO749:ES749"/>
    <mergeCell ref="FJ761:FN761"/>
    <mergeCell ref="FO758:FS758"/>
    <mergeCell ref="DJ752:DN752"/>
    <mergeCell ref="FE761:FI761"/>
    <mergeCell ref="EE758:EI758"/>
    <mergeCell ref="EJ758:EN758"/>
    <mergeCell ref="EO758:ES758"/>
    <mergeCell ref="ET758:EX758"/>
    <mergeCell ref="DO758:DS758"/>
    <mergeCell ref="DJ753:DN753"/>
    <mergeCell ref="DO753:DS753"/>
    <mergeCell ref="CG752:CH752"/>
    <mergeCell ref="CI752:CJ752"/>
    <mergeCell ref="CG758:CH758"/>
    <mergeCell ref="CU750:CY750"/>
    <mergeCell ref="CZ750:DD750"/>
    <mergeCell ref="DE754:DI754"/>
    <mergeCell ref="DO750:DS750"/>
    <mergeCell ref="CU751:CY751"/>
    <mergeCell ref="CZ751:DD751"/>
    <mergeCell ref="DE751:DI751"/>
    <mergeCell ref="AK740:AO740"/>
    <mergeCell ref="AK741:AO741"/>
    <mergeCell ref="AK742:AO742"/>
    <mergeCell ref="AK743:AO743"/>
    <mergeCell ref="CI751:CJ751"/>
    <mergeCell ref="CK751:CL751"/>
    <mergeCell ref="CM751:CN751"/>
    <mergeCell ref="CP748:CT748"/>
    <mergeCell ref="CZ741:DD741"/>
    <mergeCell ref="CZ744:DD744"/>
    <mergeCell ref="DE750:DI750"/>
    <mergeCell ref="CZ758:DD758"/>
    <mergeCell ref="CK756:CL756"/>
    <mergeCell ref="CM756:CN756"/>
    <mergeCell ref="CG757:CH757"/>
    <mergeCell ref="CP754:CT754"/>
    <mergeCell ref="CU754:CY754"/>
    <mergeCell ref="CG745:CH745"/>
    <mergeCell ref="DE745:DI745"/>
    <mergeCell ref="CZ755:DD755"/>
    <mergeCell ref="DE755:DI755"/>
    <mergeCell ref="CG750:CH750"/>
    <mergeCell ref="CK749:CL749"/>
    <mergeCell ref="CM749:CN749"/>
    <mergeCell ref="CP749:CT749"/>
    <mergeCell ref="CK750:CL750"/>
    <mergeCell ref="CK744:CL744"/>
    <mergeCell ref="AK758:AO758"/>
    <mergeCell ref="CI748:CJ748"/>
    <mergeCell ref="CK741:CL741"/>
    <mergeCell ref="DE802:DI802"/>
    <mergeCell ref="AK751:AO751"/>
    <mergeCell ref="AK752:AO752"/>
    <mergeCell ref="CU759:CY759"/>
    <mergeCell ref="CU784:CY784"/>
    <mergeCell ref="CP758:CT758"/>
    <mergeCell ref="CU758:CY758"/>
    <mergeCell ref="CG754:CH754"/>
    <mergeCell ref="CI754:CJ754"/>
    <mergeCell ref="CG744:CH744"/>
    <mergeCell ref="CP802:CT802"/>
    <mergeCell ref="CG749:CH749"/>
    <mergeCell ref="AK745:AO745"/>
    <mergeCell ref="J787:K787"/>
    <mergeCell ref="J795:N795"/>
    <mergeCell ref="CP759:CT759"/>
    <mergeCell ref="CM759:CN759"/>
    <mergeCell ref="AK756:AO756"/>
    <mergeCell ref="AC758:AG758"/>
    <mergeCell ref="AC759:AG759"/>
    <mergeCell ref="O753:S753"/>
    <mergeCell ref="T756:W756"/>
    <mergeCell ref="X755:AB755"/>
    <mergeCell ref="AH760:AJ760"/>
    <mergeCell ref="X754:AB754"/>
    <mergeCell ref="CK754:CL754"/>
    <mergeCell ref="CM754:CN754"/>
    <mergeCell ref="CG753:CH753"/>
    <mergeCell ref="CI753:CJ753"/>
    <mergeCell ref="CU752:CY752"/>
    <mergeCell ref="CI756:CJ756"/>
    <mergeCell ref="AK755:AO755"/>
    <mergeCell ref="CU755:CY755"/>
    <mergeCell ref="AC782:AG782"/>
    <mergeCell ref="X785:AB785"/>
    <mergeCell ref="K759:N759"/>
    <mergeCell ref="O759:S759"/>
    <mergeCell ref="CI760:CJ760"/>
    <mergeCell ref="DO801:DS801"/>
    <mergeCell ref="DO802:DS802"/>
    <mergeCell ref="DO803:DS803"/>
    <mergeCell ref="DO804:DS804"/>
    <mergeCell ref="DO805:DS805"/>
    <mergeCell ref="DE726:DI726"/>
    <mergeCell ref="CK726:CL726"/>
    <mergeCell ref="CU795:CY795"/>
    <mergeCell ref="CU796:CY796"/>
    <mergeCell ref="CU797:CY797"/>
    <mergeCell ref="CU798:CY798"/>
    <mergeCell ref="CU799:CY799"/>
    <mergeCell ref="CU800:CY800"/>
    <mergeCell ref="CU801:CY801"/>
    <mergeCell ref="CU802:CY802"/>
    <mergeCell ref="CU803:CY803"/>
    <mergeCell ref="CU804:CY804"/>
    <mergeCell ref="CU805:CY805"/>
    <mergeCell ref="CZ795:DD795"/>
    <mergeCell ref="CZ796:DD796"/>
    <mergeCell ref="CZ797:DD797"/>
    <mergeCell ref="CZ798:DD798"/>
    <mergeCell ref="CZ799:DD799"/>
    <mergeCell ref="CZ800:DD800"/>
    <mergeCell ref="CZ801:DD801"/>
    <mergeCell ref="CZ802:DD802"/>
    <mergeCell ref="CZ803:DD803"/>
    <mergeCell ref="CP756:CT756"/>
    <mergeCell ref="CU756:CY756"/>
    <mergeCell ref="DE803:DI803"/>
    <mergeCell ref="CI749:CJ749"/>
    <mergeCell ref="DE804:DI804"/>
    <mergeCell ref="DE805:DI805"/>
    <mergeCell ref="DJ795:DN795"/>
    <mergeCell ref="DJ796:DN796"/>
    <mergeCell ref="DJ797:DN797"/>
    <mergeCell ref="DJ798:DN798"/>
    <mergeCell ref="DJ799:DN799"/>
    <mergeCell ref="DJ800:DN800"/>
    <mergeCell ref="DJ801:DN801"/>
    <mergeCell ref="DJ802:DN802"/>
    <mergeCell ref="DJ803:DN803"/>
    <mergeCell ref="DJ804:DN804"/>
    <mergeCell ref="DJ805:DN805"/>
    <mergeCell ref="DO795:DS795"/>
    <mergeCell ref="CG748:CH748"/>
    <mergeCell ref="CK745:CL745"/>
    <mergeCell ref="DE749:DI749"/>
    <mergeCell ref="CP752:CT752"/>
    <mergeCell ref="CM761:CN761"/>
    <mergeCell ref="DE795:DI795"/>
    <mergeCell ref="DE796:DI796"/>
    <mergeCell ref="CI758:CJ758"/>
    <mergeCell ref="DE798:DI798"/>
    <mergeCell ref="DE799:DI799"/>
    <mergeCell ref="DE800:DI800"/>
    <mergeCell ref="CZ752:DD752"/>
    <mergeCell ref="CP805:CT805"/>
    <mergeCell ref="CK759:CL759"/>
    <mergeCell ref="CP783:CT783"/>
    <mergeCell ref="CP784:CT784"/>
    <mergeCell ref="DO781:DS781"/>
    <mergeCell ref="DO799:DS799"/>
    <mergeCell ref="AA1065:AF1065"/>
    <mergeCell ref="AA1066:AF1066"/>
    <mergeCell ref="G1067:AN1069"/>
    <mergeCell ref="ET795:EX795"/>
    <mergeCell ref="ET796:EX796"/>
    <mergeCell ref="ET797:EX797"/>
    <mergeCell ref="ET798:EX798"/>
    <mergeCell ref="ET799:EX799"/>
    <mergeCell ref="ET800:EX800"/>
    <mergeCell ref="ET801:EX801"/>
    <mergeCell ref="ET802:EX802"/>
    <mergeCell ref="ET803:EX803"/>
    <mergeCell ref="ET804:EX804"/>
    <mergeCell ref="ET805:EX805"/>
    <mergeCell ref="ET807:EX807"/>
    <mergeCell ref="CU810:CY810"/>
    <mergeCell ref="CZ810:DD810"/>
    <mergeCell ref="DE810:DI810"/>
    <mergeCell ref="DJ810:DN810"/>
    <mergeCell ref="DO810:DS810"/>
    <mergeCell ref="EJ795:EN795"/>
    <mergeCell ref="DU795:DY795"/>
    <mergeCell ref="DU796:DY796"/>
    <mergeCell ref="DU797:DY797"/>
    <mergeCell ref="DU798:DY798"/>
    <mergeCell ref="DU799:DY799"/>
    <mergeCell ref="DU800:DY800"/>
    <mergeCell ref="CZ804:DD804"/>
    <mergeCell ref="CZ805:DD805"/>
    <mergeCell ref="DE801:DI801"/>
    <mergeCell ref="DU804:DY804"/>
    <mergeCell ref="DE797:DI797"/>
    <mergeCell ref="EO795:ES795"/>
    <mergeCell ref="AC901:AH901"/>
    <mergeCell ref="EE795:EI795"/>
    <mergeCell ref="EE796:EI796"/>
    <mergeCell ref="EE797:EI797"/>
    <mergeCell ref="EE798:EI798"/>
    <mergeCell ref="EE799:EI799"/>
    <mergeCell ref="EE800:EI800"/>
    <mergeCell ref="EE801:EI801"/>
    <mergeCell ref="EE802:EI802"/>
    <mergeCell ref="EE803:EI803"/>
    <mergeCell ref="EE804:EI804"/>
    <mergeCell ref="EE805:EI805"/>
    <mergeCell ref="EO796:ES796"/>
    <mergeCell ref="EO797:ES797"/>
    <mergeCell ref="EO798:ES798"/>
    <mergeCell ref="EO799:ES799"/>
    <mergeCell ref="DO796:DS796"/>
    <mergeCell ref="DO797:DS797"/>
    <mergeCell ref="DO798:DS798"/>
    <mergeCell ref="EO803:ES803"/>
    <mergeCell ref="DO800:DS800"/>
    <mergeCell ref="EO805:ES805"/>
    <mergeCell ref="DZ795:ED795"/>
    <mergeCell ref="DZ796:ED796"/>
    <mergeCell ref="DZ797:ED797"/>
    <mergeCell ref="DZ798:ED798"/>
    <mergeCell ref="DZ799:ED799"/>
    <mergeCell ref="DZ800:ED800"/>
    <mergeCell ref="DZ801:ED801"/>
    <mergeCell ref="DZ802:ED802"/>
    <mergeCell ref="DZ803:ED803"/>
    <mergeCell ref="EO800:ES800"/>
    <mergeCell ref="EO801:ES801"/>
    <mergeCell ref="EO802:ES802"/>
    <mergeCell ref="DU801:DY801"/>
    <mergeCell ref="DU802:DY802"/>
    <mergeCell ref="DU803:DY803"/>
    <mergeCell ref="EO804:ES804"/>
    <mergeCell ref="DU805:DY805"/>
    <mergeCell ref="EJ796:EN796"/>
    <mergeCell ref="EJ797:EN797"/>
    <mergeCell ref="EJ798:EN798"/>
    <mergeCell ref="EJ799:EN799"/>
    <mergeCell ref="EJ800:EN800"/>
    <mergeCell ref="EJ801:EN801"/>
    <mergeCell ref="EJ802:EN802"/>
    <mergeCell ref="EJ803:EN803"/>
    <mergeCell ref="EJ804:EN804"/>
    <mergeCell ref="EJ805:EN805"/>
    <mergeCell ref="DZ804:ED804"/>
    <mergeCell ref="DZ805:ED805"/>
  </mergeCells>
  <phoneticPr fontId="0" type="noConversion"/>
  <conditionalFormatting sqref="B1069:F1069 AO1069:AP1069">
    <cfRule type="expression" dxfId="109" priority="8">
      <formula>0=$B$1069</formula>
    </cfRule>
  </conditionalFormatting>
  <conditionalFormatting sqref="C563:C573 Q563:AS573 Q636:Z646 AC636:AS646">
    <cfRule type="expression" dxfId="108" priority="25">
      <formula>$AT563="!"</formula>
    </cfRule>
  </conditionalFormatting>
  <conditionalFormatting sqref="C636:C646">
    <cfRule type="expression" dxfId="107" priority="24">
      <formula>$AT636="!"</formula>
    </cfRule>
  </conditionalFormatting>
  <conditionalFormatting sqref="C903:T904">
    <cfRule type="expression" dxfId="106" priority="10">
      <formula>AND(AC903&lt;&gt;"",OR(C903="Other (Specify):",C903=""))</formula>
    </cfRule>
  </conditionalFormatting>
  <conditionalFormatting sqref="D213">
    <cfRule type="expression" dxfId="105" priority="266">
      <formula>AND($Q$212&gt;0,$T$212&lt;75%)</formula>
    </cfRule>
  </conditionalFormatting>
  <conditionalFormatting sqref="D216">
    <cfRule type="expression" dxfId="104" priority="33">
      <formula>NOT($D$211="At-Risk")</formula>
    </cfRule>
  </conditionalFormatting>
  <conditionalFormatting sqref="D215:U215">
    <cfRule type="expression" dxfId="103" priority="37">
      <formula>NOT(OR($D$214="Seniors",$D$211="Seniors"))</formula>
    </cfRule>
  </conditionalFormatting>
  <conditionalFormatting sqref="D214:Z214">
    <cfRule type="expression" dxfId="102" priority="267">
      <formula>AND($Q$212&gt;0,$T$212&lt;75%)</formula>
    </cfRule>
  </conditionalFormatting>
  <conditionalFormatting sqref="E715:AK715">
    <cfRule type="expression" dxfId="101" priority="23">
      <formula>AND($W$714="Other",OR($E$715="(specify here)",$E$715=""))</formula>
    </cfRule>
  </conditionalFormatting>
  <conditionalFormatting sqref="F839:L839">
    <cfRule type="expression" dxfId="100" priority="18">
      <formula>AND(OR(M839&lt;&gt;"",$Q$819&lt;&gt;"",$U$819&lt;&gt;"",$Y$819&lt;&gt;"",$AC$819&lt;&gt;"",$AG$819&lt;&gt;"",SUM($M$839:$AJ$839)&gt;0),OR(F839="(specify here)",F839=""))</formula>
    </cfRule>
  </conditionalFormatting>
  <conditionalFormatting sqref="F466:AB466">
    <cfRule type="expression" dxfId="99" priority="7">
      <formula>$AC$463=""</formula>
    </cfRule>
  </conditionalFormatting>
  <conditionalFormatting sqref="G1064:AN1069">
    <cfRule type="expression" dxfId="98" priority="4">
      <formula>OR($Z$205="15% set-aside",$Z$205="15% set-aside with qualifying low value rehab")</formula>
    </cfRule>
  </conditionalFormatting>
  <conditionalFormatting sqref="L516:X516">
    <cfRule type="expression" dxfId="97" priority="32">
      <formula>AND(NOT(AC516="N/A"),AH516&lt;&gt;"",OR(L516="(specify here)",L516=""))</formula>
    </cfRule>
  </conditionalFormatting>
  <conditionalFormatting sqref="M854:V854">
    <cfRule type="expression" dxfId="96" priority="17">
      <formula>AND(W854&lt;&gt;"",OR(M854="(specify here)",M854=""))</formula>
    </cfRule>
  </conditionalFormatting>
  <conditionalFormatting sqref="M869:V869">
    <cfRule type="expression" dxfId="95" priority="16">
      <formula>AND(W869&lt;&gt;"",OR(M869="(specify here)",M869=""))</formula>
    </cfRule>
  </conditionalFormatting>
  <conditionalFormatting sqref="M880:V880">
    <cfRule type="expression" dxfId="94" priority="15">
      <formula>AND(W880&lt;&gt;"",OR(M880="(specify here)",M880=""))</formula>
    </cfRule>
  </conditionalFormatting>
  <conditionalFormatting sqref="M883:V887">
    <cfRule type="expression" dxfId="93" priority="14">
      <formula>AND(W883&lt;&gt;"",OR(M883="(specify here)",M883=""))</formula>
    </cfRule>
  </conditionalFormatting>
  <conditionalFormatting sqref="O528:AA528">
    <cfRule type="expression" dxfId="92" priority="31">
      <formula>AND(OR(AND(NOT(AC528="N/A"),AH528&lt;&gt;""),AND(NOT(AC529="N/A"),AH529&lt;&gt;""),AND(NOT(AC530="N/A"),AH530&lt;&gt;"")),OR(O528="(specify here)",O528=""))</formula>
    </cfRule>
  </conditionalFormatting>
  <conditionalFormatting sqref="O531:AA531">
    <cfRule type="expression" dxfId="91" priority="30">
      <formula>AND(OR(AND(NOT(AC531="N/A"),AH531&lt;&gt;""),AND(NOT(AC532="N/A"),AH532&lt;&gt;""),AND(NOT(AC533="N/A"),AH533&lt;&gt;"")),OR(O531="(specify here)",O531=""))</formula>
    </cfRule>
  </conditionalFormatting>
  <conditionalFormatting sqref="O534:AA534">
    <cfRule type="expression" dxfId="90" priority="29">
      <formula>AND(OR(AND(NOT(AC534="N/A"),AH534&lt;&gt;""),AND(NOT(AC535="N/A"),AH535&lt;&gt;""),AND(NOT(AC536="N/A"),AH536&lt;&gt;"")),OR(O534="(specify here)",O534=""))</formula>
    </cfRule>
  </conditionalFormatting>
  <conditionalFormatting sqref="O537:AA537">
    <cfRule type="expression" dxfId="89" priority="28">
      <formula>AND(OR(AND(NOT(AC537="N/A"),AH537&lt;&gt;""),AND(NOT(AC538="N/A"),AH538&lt;&gt;""),AND(NOT(AC539="N/A"),AH539&lt;&gt;"")),OR(O537="(specify here)",O537=""))</formula>
    </cfRule>
  </conditionalFormatting>
  <conditionalFormatting sqref="O540:AA540">
    <cfRule type="expression" dxfId="88" priority="27">
      <formula>AND(OR(AND(NOT(AC540="N/A"),AH540&lt;&gt;""),AND(NOT(AC541="N/A"),AH541&lt;&gt;""),AND(NOT(AC542="N/A"),AH542&lt;&gt;"")),OR(O540="(specify here)",O540=""))</formula>
    </cfRule>
  </conditionalFormatting>
  <conditionalFormatting sqref="O543:AA543">
    <cfRule type="expression" dxfId="87" priority="26">
      <formula>AND(OR(AND(NOT(AC543="N/A"),AH543&lt;&gt;""),AND(NOT(AC544="N/A"),AH544&lt;&gt;""),AND(NOT(AC545="N/A"),AH545&lt;&gt;"")),OR(O543="(specify here)",O543=""))</formula>
    </cfRule>
  </conditionalFormatting>
  <conditionalFormatting sqref="P824:Y824">
    <cfRule type="expression" dxfId="86" priority="19">
      <formula>AND(Z824&lt;&gt;"",OR(P824="(specify here)",P824=""))</formula>
    </cfRule>
  </conditionalFormatting>
  <conditionalFormatting sqref="T212:U212">
    <cfRule type="expression" dxfId="85" priority="6">
      <formula>AND($T$212=0,$Q$212="")</formula>
    </cfRule>
  </conditionalFormatting>
  <conditionalFormatting sqref="U903:U904">
    <cfRule type="expression" dxfId="84" priority="263">
      <formula>AND(AU887&lt;&gt;"",OR(U903="Other (Specify):",U903=""))</formula>
    </cfRule>
  </conditionalFormatting>
  <conditionalFormatting sqref="V903:AB904">
    <cfRule type="expression" dxfId="83" priority="264">
      <formula>AND(AV897&lt;&gt;"",OR(V903="Other (Specify):",V903=""))</formula>
    </cfRule>
  </conditionalFormatting>
  <conditionalFormatting sqref="W983:AG983">
    <cfRule type="expression" dxfId="82" priority="9">
      <formula>AND($AA$962&lt;&gt;"",OR($W$961="",$W$961="(specify here)"))</formula>
    </cfRule>
  </conditionalFormatting>
  <conditionalFormatting sqref="Y224">
    <cfRule type="expression" dxfId="81" priority="1">
      <formula>$AC$463=""</formula>
    </cfRule>
  </conditionalFormatting>
  <conditionalFormatting sqref="Y516:AB516">
    <cfRule type="expression" dxfId="80" priority="265">
      <formula>AND(NOT(AP516="N/A"),AU515&lt;&gt;"",OR(Y516="(specify here)",Y516=""))</formula>
    </cfRule>
  </conditionalFormatting>
  <conditionalFormatting sqref="AA927:AF927">
    <cfRule type="expression" dxfId="79" priority="3">
      <formula>NOT($AA$927=$AW$927)</formula>
    </cfRule>
  </conditionalFormatting>
  <conditionalFormatting sqref="AA1066:AF1066">
    <cfRule type="expression" dxfId="78" priority="5">
      <formula>OR($Z$205="15% set-aside",$Z$205="15% set-aside with qualifying low value rehab")</formula>
    </cfRule>
  </conditionalFormatting>
  <conditionalFormatting sqref="AA215:AO215">
    <cfRule type="expression" dxfId="77" priority="38">
      <formula>NOT(OR($D$214="Seniors",$D$211="Seniors"))</formula>
    </cfRule>
  </conditionalFormatting>
  <conditionalFormatting sqref="AB216:AM216">
    <cfRule type="expression" dxfId="76" priority="34">
      <formula>NOT($D$211="At-Risk")</formula>
    </cfRule>
  </conditionalFormatting>
  <conditionalFormatting sqref="AF1030">
    <cfRule type="cellIs" dxfId="75" priority="44" stopIfTrue="1" operator="equal">
      <formula>"Please Enter Amount:"</formula>
    </cfRule>
  </conditionalFormatting>
  <conditionalFormatting sqref="AF1035">
    <cfRule type="cellIs" dxfId="74" priority="41" stopIfTrue="1" operator="equal">
      <formula>"Please Enter Amount:"</formula>
    </cfRule>
  </conditionalFormatting>
  <conditionalFormatting sqref="AF1042">
    <cfRule type="cellIs" dxfId="73" priority="42" stopIfTrue="1" operator="equal">
      <formula>"Please Enter Amount:"</formula>
    </cfRule>
  </conditionalFormatting>
  <conditionalFormatting sqref="AG450:AJ450">
    <cfRule type="expression" dxfId="72" priority="48" stopIfTrue="1">
      <formula>"iserror(d31)"</formula>
    </cfRule>
  </conditionalFormatting>
  <conditionalFormatting sqref="AJ1054">
    <cfRule type="cellIs" dxfId="71" priority="47" stopIfTrue="1" operator="equal">
      <formula>"#DIV/0!"</formula>
    </cfRule>
  </conditionalFormatting>
  <conditionalFormatting sqref="AX305:BT306">
    <cfRule type="expression" dxfId="70" priority="2">
      <formula>$AC$463=""</formula>
    </cfRule>
  </conditionalFormatting>
  <dataValidations xWindow="329" yWindow="269" count="59">
    <dataValidation type="list" allowBlank="1" showInputMessage="1" showErrorMessage="1" sqref="S422:T422 A1090:B1090 AE434:AF434 A1112:B1112 M364:N367 A1134:B1134 A1106:B1106 A1079:B1079 A1084:B1084 R420:S421 A1098:B1098 A1103:B1103 A1109:B1109 A1074:B1074 A1076:B1076 A1094:B1094" xr:uid="{00000000-0002-0000-0400-000000000000}">
      <formula1>"N/A, Yes"</formula1>
    </dataValidation>
    <dataValidation type="list" allowBlank="1" showInputMessage="1" showErrorMessage="1" sqref="O983 N697 AG697 AG673 N673 AG681 N681 AG689 N689 AG623 AG657 N657 AG665 N665 AG615 AG607 N599 AG599 N615 AG591 N607 N583 N623 N591 AG583 O33:P33 X180 R177 AP205 T195:T197 AH194 T199:T200 V224:V229" xr:uid="{00000000-0002-0000-0400-000001000000}">
      <formula1>"Yes, No"</formula1>
    </dataValidation>
    <dataValidation type="list" allowBlank="1" showInputMessage="1" showErrorMessage="1" sqref="AG1020 AG1029 AG1038 AG1003 AG1010 AG1045 Q497 AG1016 AG1022 AG1025 AG1034 AG1041 AG1050" xr:uid="{00000000-0002-0000-0400-000002000000}">
      <formula1>"Yes,No"</formula1>
    </dataValidation>
    <dataValidation type="list" allowBlank="1" showInputMessage="1" showErrorMessage="1" sqref="J1033" xr:uid="{00000000-0002-0000-0400-000003000000}">
      <formula1>"N/A,Seismic Upgrading, Environmental Mitigation"</formula1>
    </dataValidation>
    <dataValidation type="list" showInputMessage="1" showErrorMessage="1" sqref="Z281:AD281" xr:uid="{00000000-0002-0000-0400-000004000000}">
      <formula1>"Nonprofit, For-Profit, N/A"</formula1>
    </dataValidation>
    <dataValidation type="list" allowBlank="1" showInputMessage="1" showErrorMessage="1" sqref="AE710:AF710 Q438:R438 AE701:AF702 Z441:AA441 AI401:AJ401 AI398:AJ398 AI406:AJ406" xr:uid="{00000000-0002-0000-0400-000005000000}">
      <formula1>"No, Yes"</formula1>
    </dataValidation>
    <dataValidation type="decimal" allowBlank="1" showInputMessage="1" showErrorMessage="1" error="example: enter 30 for 30%, hit cancel and try again._x000a_" sqref="AD728:AG760 AI782:AJ785 AH781:AH784 AK781:AL784 AC726:AC760" xr:uid="{00000000-0002-0000-0400-000006000000}">
      <formula1>0</formula1>
      <formula2>1</formula2>
    </dataValidation>
    <dataValidation type="list" allowBlank="1" showInputMessage="1" showErrorMessage="1" sqref="W714:AK714" xr:uid="{00000000-0002-0000-0400-000007000000}">
      <formula1>"(select one),FHA Insurance, Private Mortgage Insurance, Letter(s) of Credit, Other"</formula1>
    </dataValidation>
    <dataValidation type="list" showInputMessage="1" showErrorMessage="1" sqref="Z443 AF439" xr:uid="{00000000-0002-0000-0400-000008000000}">
      <formula1>$BN$351:$BN$353</formula1>
    </dataValidation>
    <dataValidation type="list" allowBlank="1" showInputMessage="1" showErrorMessage="1" sqref="Y373:Z373 N372:O372 J376:K376 AJ366:AK366 AJ364:AK364" xr:uid="{00000000-0002-0000-0400-000009000000}">
      <formula1>"N/A, Yes, No"</formula1>
    </dataValidation>
    <dataValidation type="list" showInputMessage="1" showErrorMessage="1" sqref="J787:K787" xr:uid="{00000000-0002-0000-0400-00000A000000}">
      <formula1>"No,Yes"</formula1>
    </dataValidation>
    <dataValidation type="list" allowBlank="1" showInputMessage="1" showErrorMessage="1" sqref="U927:U95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77"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66:T266 M274:T274 M258:T258" xr:uid="{00000000-0002-0000-0400-000011000000}">
      <formula1>"(select one),Nonprofit, For Profit"</formula1>
    </dataValidation>
    <dataValidation type="list" allowBlank="1" showInputMessage="1" showErrorMessage="1" sqref="AI235:AJ23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10:U410 P954:T954" xr:uid="{00000000-0002-0000-0400-000014000000}">
      <formula1>"No,Yes"</formula1>
    </dataValidation>
    <dataValidation type="list" allowBlank="1" showInputMessage="1" showErrorMessage="1" sqref="M978:S978" xr:uid="{00000000-0002-0000-0400-000016000000}">
      <formula1>"N/A,IRP,Decoupled IRP"</formula1>
    </dataValidation>
    <dataValidation type="list" allowBlank="1" showInputMessage="1" showErrorMessage="1" sqref="AF252:AK252 AF260:AK260 AF268:AK268" xr:uid="{00000000-0002-0000-0400-000017000000}">
      <formula1>"(select one),Managing GP,Administrative GP"</formula1>
    </dataValidation>
    <dataValidation type="list" allowBlank="1" showInputMessage="1" showErrorMessage="1" sqref="AG388:AH389 V390:W391 AD767:AF767" xr:uid="{00000000-0002-0000-0400-000018000000}">
      <formula1>"N/A,Yes,No"</formula1>
    </dataValidation>
    <dataValidation type="list" allowBlank="1" showInputMessage="1" showErrorMessage="1" sqref="Q374" xr:uid="{00000000-0002-0000-0400-000019000000}">
      <formula1>"N/A,Appraisal,Third party debt encumbering the seller's property"</formula1>
    </dataValidation>
    <dataValidation type="whole" operator="greaterThanOrEqual" allowBlank="1" showInputMessage="1" showErrorMessage="1" sqref="Z814:AE814 AG403:AJ403 Q635:V646 Q562:V573 AE562:AH573 AC635:AE646" xr:uid="{00000000-0002-0000-0400-00001A000000}">
      <formula1>0</formula1>
    </dataValidation>
    <dataValidation type="list" allowBlank="1" showInputMessage="1" showErrorMessage="1" sqref="Z562:AD573" xr:uid="{00000000-0002-0000-0400-00001B000000}">
      <formula1>"(select),Fixed,Variable,N/A"</formula1>
    </dataValidation>
    <dataValidation type="list" allowBlank="1" showInputMessage="1" showErrorMessage="1" sqref="I419:AE41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66 AB966" xr:uid="{00000000-0002-0000-0400-00001E000000}">
      <formula1>"(select one),Project-based vouchers (PBVs),Project-based contract (PBC),RAD conversion - PBVs, RAD conversion - PBC"</formula1>
    </dataValidation>
    <dataValidation type="whole" allowBlank="1" showInputMessage="1" showErrorMessage="1" sqref="AG417:AJ417" xr:uid="{00000000-0002-0000-0400-000021000000}">
      <formula1>0</formula1>
      <formula2>AG404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11:U411" xr:uid="{00000000-0002-0000-0400-000024000000}">
      <formula1>"N/A,No,Yes"</formula1>
    </dataValidation>
    <dataValidation type="list" allowBlank="1" showInputMessage="1" showErrorMessage="1" sqref="S414:AJ414" xr:uid="{00000000-0002-0000-0400-000025000000}">
      <formula1>"(select),Secured by Leasehold Interest,Secured by Fee Interest,Secured by both Leasehold &amp; Fee Interests,Other"</formula1>
    </dataValidation>
    <dataValidation type="whole" allowBlank="1" showInputMessage="1" showErrorMessage="1" sqref="AG410:AJ410 AG404:AJ405" xr:uid="{00000000-0002-0000-0400-000026000000}">
      <formula1>0</formula1>
      <formula2>AG403</formula2>
    </dataValidation>
    <dataValidation type="whole" allowBlank="1" showInputMessage="1" showErrorMessage="1" sqref="AG409:AJ409" xr:uid="{00000000-0002-0000-0400-000027000000}">
      <formula1>0</formula1>
      <formula2>AG404</formula2>
    </dataValidation>
    <dataValidation type="whole" allowBlank="1" showInputMessage="1" showErrorMessage="1" sqref="AG406:AH406" xr:uid="{00000000-0002-0000-0400-000028000000}">
      <formula1>0</formula1>
      <formula2>AG404</formula2>
    </dataValidation>
    <dataValidation type="list" showInputMessage="1" showErrorMessage="1" sqref="AC522:AF550 AC509:AF516" xr:uid="{00000000-0002-0000-0400-000029000000}">
      <formula1>"N/A,1,2,3,4,5,6,7,8,9,10,11,12"</formula1>
    </dataValidation>
    <dataValidation type="list" allowBlank="1" showInputMessage="1" showErrorMessage="1" sqref="AC517:AF517" xr:uid="{00000000-0002-0000-0400-00002A000000}">
      <formula1>"(select),Yes,No"</formula1>
    </dataValidation>
    <dataValidation type="list" allowBlank="1" showInputMessage="1" showErrorMessage="1" sqref="D279:H279" xr:uid="{00000000-0002-0000-0400-00002B000000}">
      <formula1>$BB$253:$BB$255</formula1>
    </dataValidation>
    <dataValidation type="list" allowBlank="1" showInputMessage="1" showErrorMessage="1" sqref="M247:T247" xr:uid="{00000000-0002-0000-0400-00002D000000}">
      <formula1>$BC$212:$BC$220</formula1>
    </dataValidation>
    <dataValidation type="list" allowBlank="1" showInputMessage="1" showErrorMessage="1" sqref="Z635:AB646" xr:uid="{00000000-0002-0000-0400-00002E000000}">
      <formula1>$BA$642:$BA$646</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64:AJ764"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71:AK971" xr:uid="{3015ADA4-3803-4925-A490-ECD1BD0E2A56}">
      <formula1>0</formula1>
    </dataValidation>
    <dataValidation type="list" allowBlank="1" showInputMessage="1" showErrorMessage="1" sqref="M635:P646 M562:P573" xr:uid="{F87116AC-A1B8-4398-BDC8-FEBBA6D1FE2D}">
      <formula1>ListofSources</formula1>
    </dataValidation>
    <dataValidation type="decimal" operator="greaterThanOrEqual" allowBlank="1" showInputMessage="1" showErrorMessage="1" sqref="W562:Y573 AI562:AS573 AF635:AS646 W635:Y646" xr:uid="{B50554E8-7617-41C3-9EF8-A6BF90A112B3}">
      <formula1>0</formula1>
    </dataValidation>
    <dataValidation type="whole" operator="greaterThanOrEqual" allowBlank="1" showInputMessage="1" showErrorMessage="1" error="Please enter a whole number. If none or N/A, enter 0." sqref="AJ365:AK365" xr:uid="{47EEA571-E5F8-4058-8A44-A100E6B032C7}">
      <formula1>0</formula1>
    </dataValidation>
    <dataValidation type="whole" operator="greaterThan" allowBlank="1" showInputMessage="1" showErrorMessage="1" error="Please enter the subsidy term as a number in years, no text." sqref="M971:S971" xr:uid="{329A175C-D81C-4A27-AB4D-86D6F9108F0D}">
      <formula1>0</formula1>
    </dataValidation>
    <dataValidation type="whole" operator="greaterThanOrEqual" allowBlank="1" showInputMessage="1" showErrorMessage="1" error="Please enter the number of units designated for each population type. If N/A, enter 0." sqref="W473:Y482" xr:uid="{5517D19B-D7E5-437A-9ED1-0C3293C1F3BD}">
      <formula1>0</formula1>
    </dataValidation>
    <dataValidation type="list" allowBlank="1" showInputMessage="1" showErrorMessage="1" sqref="AK726:AO760"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81:S981" xr:uid="{9CEC7422-BB08-4918-A04B-C33D1AA3FF65}">
      <formula1>"(select one),Project-based vouchers (PBVs),Project-based contract (PBC),RAD PBVs, RAD PBC"</formula1>
    </dataValidation>
    <dataValidation type="list" allowBlank="1" showInputMessage="1" showErrorMessage="1" sqref="J795:N804 J781:N784 B726:F760"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81" max="45" man="1"/>
    <brk id="343" max="45" man="1"/>
    <brk id="392" max="45" man="1"/>
    <brk id="444" max="45" man="1"/>
    <brk id="504" max="45" man="1"/>
    <brk id="551" max="45" man="1"/>
    <brk id="674" max="45" man="1"/>
    <brk id="716" max="45" man="1"/>
    <brk id="768" max="45" man="1"/>
    <brk id="827" max="45" man="1"/>
    <brk id="889" max="45" man="1"/>
    <brk id="959" max="45" man="1"/>
  </rowBreaks>
  <ignoredErrors>
    <ignoredError sqref="Y226" formula="1"/>
  </ignoredError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workbookViewId="0">
      <selection activeCell="K57" sqref="K57:K58"/>
    </sheetView>
  </sheetViews>
  <sheetFormatPr defaultColWidth="0" defaultRowHeight="12" zeroHeight="1"/>
  <cols>
    <col min="1" max="1" width="35.7109375" style="187" customWidth="1"/>
    <col min="2" max="12" width="12.140625" style="158" customWidth="1"/>
    <col min="13" max="17" width="11.28515625" style="158" customWidth="1"/>
    <col min="18" max="18" width="12.7109375" style="158" customWidth="1"/>
    <col min="19" max="20" width="12.140625" style="158" customWidth="1"/>
    <col min="21" max="21" width="0.28515625" style="161" customWidth="1"/>
    <col min="22" max="16383" width="8.85546875" style="158" hidden="1"/>
    <col min="16384" max="16384" width="0.140625" style="158" customWidth="1"/>
  </cols>
  <sheetData>
    <row r="1" spans="1:21" s="110" customFormat="1" ht="13.5">
      <c r="A1" s="168" t="s">
        <v>549</v>
      </c>
      <c r="B1" s="125"/>
      <c r="C1" s="125"/>
      <c r="D1" s="125"/>
      <c r="E1" s="126"/>
      <c r="F1" s="1871" t="s">
        <v>621</v>
      </c>
      <c r="G1" s="1872"/>
      <c r="H1" s="1872"/>
      <c r="I1" s="1872"/>
      <c r="J1" s="1872"/>
      <c r="K1" s="1872"/>
      <c r="L1" s="1872"/>
      <c r="M1" s="1872"/>
      <c r="N1" s="1872"/>
      <c r="O1" s="1872"/>
      <c r="P1" s="1872"/>
      <c r="Q1" s="1872"/>
      <c r="R1" s="1873"/>
      <c r="S1" s="112"/>
      <c r="T1" s="111"/>
      <c r="U1" s="113"/>
    </row>
    <row r="2" spans="1:21" s="138" customFormat="1" ht="71.25" customHeight="1">
      <c r="A2" s="137"/>
      <c r="B2" s="138" t="s">
        <v>23</v>
      </c>
      <c r="C2" s="138" t="s">
        <v>374</v>
      </c>
      <c r="D2" s="138" t="s">
        <v>373</v>
      </c>
      <c r="E2" s="138" t="s">
        <v>24</v>
      </c>
      <c r="F2" s="139" t="str">
        <f>Application!B635&amp;Application!C635</f>
        <v>1)Citi Bank Permanent Loan</v>
      </c>
      <c r="G2" s="139" t="str">
        <f>Application!B636&amp;Application!C636</f>
        <v>2)County Gap Financing</v>
      </c>
      <c r="H2" s="139" t="str">
        <f>Application!B637&amp;Application!C637</f>
        <v>3)GC Loan</v>
      </c>
      <c r="I2" s="139" t="str">
        <f>Application!B638&amp;Application!C638</f>
        <v>4)Deferred Developer Fee</v>
      </c>
      <c r="J2" s="139" t="str">
        <f>Application!B639&amp;Application!C639</f>
        <v>5)</v>
      </c>
      <c r="K2" s="139" t="str">
        <f>Application!B640&amp;Application!C640</f>
        <v>6)</v>
      </c>
      <c r="L2" s="139" t="str">
        <f>Application!B641&amp;Application!C641</f>
        <v>7)</v>
      </c>
      <c r="M2" s="139" t="str">
        <f>Application!B642&amp;Application!C642</f>
        <v>8)</v>
      </c>
      <c r="N2" s="139" t="str">
        <f>Application!B643&amp;Application!C643</f>
        <v>9)</v>
      </c>
      <c r="O2" s="139" t="str">
        <f>Application!B644&amp;Application!C644</f>
        <v>10)</v>
      </c>
      <c r="P2" s="139" t="str">
        <f>Application!B645&amp;Application!C645</f>
        <v>11)</v>
      </c>
      <c r="Q2" s="139" t="str">
        <f>Application!B646&amp;Application!C646</f>
        <v>12)</v>
      </c>
      <c r="R2" s="139" t="s">
        <v>59</v>
      </c>
      <c r="S2" s="138" t="s">
        <v>183</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2660867</v>
      </c>
      <c r="C4" s="147">
        <v>2660867</v>
      </c>
      <c r="D4" s="147"/>
      <c r="E4" s="147">
        <v>2660867</v>
      </c>
      <c r="F4" s="147"/>
      <c r="G4" s="147"/>
      <c r="H4" s="147"/>
      <c r="I4" s="147"/>
      <c r="J4" s="147"/>
      <c r="K4" s="147"/>
      <c r="L4" s="147"/>
      <c r="M4" s="147"/>
      <c r="N4" s="147"/>
      <c r="O4" s="147"/>
      <c r="P4" s="147"/>
      <c r="Q4" s="147"/>
      <c r="R4" s="516">
        <f>SUM(E4:Q4)</f>
        <v>2660867</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16">
        <f>SUM(E5:Q5)</f>
        <v>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16">
        <f>SUM(E6:Q6)</f>
        <v>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16">
        <f>SUM(E7:Q7)</f>
        <v>0</v>
      </c>
      <c r="S7" s="148"/>
      <c r="T7" s="148"/>
      <c r="U7" s="143"/>
    </row>
    <row r="8" spans="1:21" s="144" customFormat="1">
      <c r="A8" s="149" t="s">
        <v>593</v>
      </c>
      <c r="B8" s="146">
        <f>SUM(C8:D8)</f>
        <v>2660867</v>
      </c>
      <c r="C8" s="146">
        <f t="shared" ref="C8:Q8" si="0">SUM(C4:C7)</f>
        <v>2660867</v>
      </c>
      <c r="D8" s="146">
        <f t="shared" si="0"/>
        <v>0</v>
      </c>
      <c r="E8" s="146">
        <f t="shared" si="0"/>
        <v>2660867</v>
      </c>
      <c r="F8" s="146">
        <f t="shared" si="0"/>
        <v>0</v>
      </c>
      <c r="G8" s="146">
        <f t="shared" si="0"/>
        <v>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42">
        <f>SUM(R4:R7)</f>
        <v>2660867</v>
      </c>
      <c r="S8" s="148"/>
      <c r="T8" s="148"/>
      <c r="U8" s="143"/>
    </row>
    <row r="9" spans="1:21" s="144" customFormat="1">
      <c r="A9" s="145" t="s">
        <v>594</v>
      </c>
      <c r="B9" s="146">
        <f>SUM(C9+D9)</f>
        <v>0</v>
      </c>
      <c r="C9" s="147"/>
      <c r="D9" s="147"/>
      <c r="E9" s="147"/>
      <c r="F9" s="147"/>
      <c r="G9" s="147"/>
      <c r="H9" s="147"/>
      <c r="I9" s="147"/>
      <c r="J9" s="147"/>
      <c r="K9" s="147"/>
      <c r="L9" s="147"/>
      <c r="M9" s="147"/>
      <c r="N9" s="147"/>
      <c r="O9" s="147"/>
      <c r="P9" s="147"/>
      <c r="Q9" s="147"/>
      <c r="R9" s="516">
        <f>SUM(E9:Q9)</f>
        <v>0</v>
      </c>
      <c r="S9" s="148"/>
      <c r="T9" s="147"/>
      <c r="U9" s="143"/>
    </row>
    <row r="10" spans="1:21" s="144" customFormat="1">
      <c r="A10" s="145" t="s">
        <v>595</v>
      </c>
      <c r="B10" s="146">
        <f>SUM(C10+D10)</f>
        <v>0</v>
      </c>
      <c r="C10" s="147"/>
      <c r="D10" s="147"/>
      <c r="E10" s="147"/>
      <c r="F10" s="147"/>
      <c r="G10" s="147"/>
      <c r="H10" s="147"/>
      <c r="I10" s="147"/>
      <c r="J10" s="147"/>
      <c r="K10" s="147"/>
      <c r="L10" s="147"/>
      <c r="M10" s="147"/>
      <c r="N10" s="147"/>
      <c r="O10" s="147"/>
      <c r="P10" s="147"/>
      <c r="Q10" s="147"/>
      <c r="R10" s="516">
        <f>SUM(E10:Q10)</f>
        <v>0</v>
      </c>
      <c r="S10" s="147"/>
      <c r="T10" s="147"/>
      <c r="U10" s="143"/>
    </row>
    <row r="11" spans="1:21" s="144" customFormat="1">
      <c r="A11" s="149" t="s">
        <v>596</v>
      </c>
      <c r="B11" s="146">
        <f>SUM(C11:D11)</f>
        <v>0</v>
      </c>
      <c r="C11" s="146">
        <f t="shared" ref="C11:Q11" si="1">SUM(C9:C10)</f>
        <v>0</v>
      </c>
      <c r="D11" s="146">
        <f t="shared" si="1"/>
        <v>0</v>
      </c>
      <c r="E11" s="146">
        <f t="shared" si="1"/>
        <v>0</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42">
        <f>SUM(R9:R10)</f>
        <v>0</v>
      </c>
      <c r="S11" s="148"/>
      <c r="T11" s="150">
        <f>SUM(T9:T10)</f>
        <v>0</v>
      </c>
      <c r="U11" s="143"/>
    </row>
    <row r="12" spans="1:21" s="144" customFormat="1">
      <c r="A12" s="149" t="s">
        <v>84</v>
      </c>
      <c r="B12" s="146">
        <f t="shared" ref="B12:Q12" si="2">SUM(B8+B11)</f>
        <v>2660867</v>
      </c>
      <c r="C12" s="146">
        <f t="shared" si="2"/>
        <v>2660867</v>
      </c>
      <c r="D12" s="146">
        <f t="shared" si="2"/>
        <v>0</v>
      </c>
      <c r="E12" s="146">
        <f t="shared" si="2"/>
        <v>2660867</v>
      </c>
      <c r="F12" s="146">
        <f t="shared" si="2"/>
        <v>0</v>
      </c>
      <c r="G12" s="146">
        <f t="shared" si="2"/>
        <v>0</v>
      </c>
      <c r="H12" s="146">
        <f t="shared" si="2"/>
        <v>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42">
        <f>SUM(R8+R11)</f>
        <v>2660867</v>
      </c>
      <c r="S12" s="148"/>
      <c r="T12" s="148"/>
      <c r="U12" s="143"/>
    </row>
    <row r="13" spans="1:21" s="144" customFormat="1">
      <c r="A13" s="287" t="s">
        <v>902</v>
      </c>
      <c r="B13" s="146">
        <f>SUM(C13+D13)</f>
        <v>0</v>
      </c>
      <c r="C13" s="147"/>
      <c r="D13" s="147"/>
      <c r="E13" s="147"/>
      <c r="F13" s="147"/>
      <c r="G13" s="147"/>
      <c r="H13" s="147"/>
      <c r="I13" s="147"/>
      <c r="J13" s="147"/>
      <c r="K13" s="147"/>
      <c r="L13" s="147"/>
      <c r="M13" s="147"/>
      <c r="N13" s="147"/>
      <c r="O13" s="147"/>
      <c r="P13" s="147"/>
      <c r="Q13" s="147"/>
      <c r="R13" s="516">
        <f>SUM(E13:Q13)</f>
        <v>0</v>
      </c>
      <c r="S13" s="147"/>
      <c r="T13" s="147"/>
      <c r="U13" s="143"/>
    </row>
    <row r="14" spans="1:21" s="144" customFormat="1" ht="24">
      <c r="A14" s="288" t="s">
        <v>1632</v>
      </c>
      <c r="B14" s="146">
        <f>SUM(C14+D14)</f>
        <v>0</v>
      </c>
      <c r="C14" s="147"/>
      <c r="D14" s="147"/>
      <c r="E14" s="147"/>
      <c r="F14" s="147"/>
      <c r="G14" s="147"/>
      <c r="H14" s="147"/>
      <c r="I14" s="147"/>
      <c r="J14" s="147"/>
      <c r="K14" s="147"/>
      <c r="L14" s="147"/>
      <c r="M14" s="147"/>
      <c r="N14" s="147"/>
      <c r="O14" s="147"/>
      <c r="P14" s="147"/>
      <c r="Q14" s="147"/>
      <c r="R14" s="516">
        <f>SUM(E14:Q14)</f>
        <v>0</v>
      </c>
      <c r="S14" s="147"/>
      <c r="T14" s="147"/>
      <c r="U14" s="143"/>
    </row>
    <row r="15" spans="1:21" s="144" customFormat="1">
      <c r="A15" s="288" t="s">
        <v>1161</v>
      </c>
      <c r="B15" s="146">
        <f>SUM(C15+D15)</f>
        <v>0</v>
      </c>
      <c r="C15" s="147"/>
      <c r="D15" s="147"/>
      <c r="E15" s="147"/>
      <c r="F15" s="147"/>
      <c r="G15" s="147"/>
      <c r="H15" s="147"/>
      <c r="I15" s="147"/>
      <c r="J15" s="147"/>
      <c r="K15" s="147"/>
      <c r="L15" s="147"/>
      <c r="M15" s="147"/>
      <c r="N15" s="147"/>
      <c r="O15" s="147"/>
      <c r="P15" s="147"/>
      <c r="Q15" s="147"/>
      <c r="R15" s="516">
        <f>SUM(E15:Q15)</f>
        <v>0</v>
      </c>
      <c r="S15" s="148"/>
      <c r="T15" s="148"/>
      <c r="U15" s="143"/>
    </row>
    <row r="16" spans="1:21" s="144" customFormat="1">
      <c r="A16" s="141" t="s">
        <v>597</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598</v>
      </c>
      <c r="B17" s="146">
        <f t="shared" ref="B17:B26" si="3">SUM(C17+D17)</f>
        <v>0</v>
      </c>
      <c r="C17" s="147"/>
      <c r="D17" s="147"/>
      <c r="E17" s="147"/>
      <c r="F17" s="147"/>
      <c r="G17" s="147"/>
      <c r="H17" s="147"/>
      <c r="I17" s="147"/>
      <c r="J17" s="147"/>
      <c r="K17" s="147"/>
      <c r="L17" s="147"/>
      <c r="M17" s="147"/>
      <c r="N17" s="147"/>
      <c r="O17" s="147"/>
      <c r="P17" s="147"/>
      <c r="Q17" s="147"/>
      <c r="R17" s="516">
        <f>SUM(E17:Q17)</f>
        <v>0</v>
      </c>
      <c r="S17" s="147"/>
      <c r="T17" s="147"/>
      <c r="U17" s="143"/>
    </row>
    <row r="18" spans="1:21" s="144" customFormat="1">
      <c r="A18" s="145" t="s">
        <v>599</v>
      </c>
      <c r="B18" s="146">
        <f t="shared" si="3"/>
        <v>0</v>
      </c>
      <c r="C18" s="147"/>
      <c r="D18" s="147"/>
      <c r="E18" s="147"/>
      <c r="F18" s="147"/>
      <c r="G18" s="147"/>
      <c r="H18" s="147"/>
      <c r="I18" s="147"/>
      <c r="J18" s="147"/>
      <c r="K18" s="147"/>
      <c r="L18" s="147"/>
      <c r="M18" s="147"/>
      <c r="N18" s="147"/>
      <c r="O18" s="147"/>
      <c r="P18" s="147"/>
      <c r="Q18" s="147"/>
      <c r="R18" s="516">
        <f>SUM(E18:Q18)</f>
        <v>0</v>
      </c>
      <c r="S18" s="147"/>
      <c r="T18" s="147"/>
      <c r="U18" s="143"/>
    </row>
    <row r="19" spans="1:21" s="144" customFormat="1">
      <c r="A19" s="145" t="s">
        <v>600</v>
      </c>
      <c r="B19" s="146">
        <f t="shared" si="3"/>
        <v>0</v>
      </c>
      <c r="C19" s="147"/>
      <c r="D19" s="147"/>
      <c r="E19" s="147"/>
      <c r="F19" s="147"/>
      <c r="G19" s="147"/>
      <c r="H19" s="147"/>
      <c r="I19" s="147"/>
      <c r="J19" s="147"/>
      <c r="K19" s="147"/>
      <c r="L19" s="147"/>
      <c r="M19" s="147"/>
      <c r="N19" s="147"/>
      <c r="O19" s="147"/>
      <c r="P19" s="147"/>
      <c r="Q19" s="147"/>
      <c r="R19" s="516">
        <f>SUM(E19:Q19)</f>
        <v>0</v>
      </c>
      <c r="S19" s="147"/>
      <c r="T19" s="147"/>
      <c r="U19" s="143"/>
    </row>
    <row r="20" spans="1:21" s="144" customFormat="1">
      <c r="A20" s="145" t="s">
        <v>137</v>
      </c>
      <c r="B20" s="146">
        <f t="shared" si="3"/>
        <v>0</v>
      </c>
      <c r="C20" s="147"/>
      <c r="D20" s="147"/>
      <c r="E20" s="147"/>
      <c r="F20" s="147"/>
      <c r="G20" s="147"/>
      <c r="H20" s="147"/>
      <c r="I20" s="147"/>
      <c r="J20" s="147"/>
      <c r="K20" s="147"/>
      <c r="L20" s="147"/>
      <c r="M20" s="147"/>
      <c r="N20" s="147"/>
      <c r="O20" s="147"/>
      <c r="P20" s="147"/>
      <c r="Q20" s="147"/>
      <c r="R20" s="516">
        <f t="shared" ref="R20:R27" si="4">SUM(E20:Q20)</f>
        <v>0</v>
      </c>
      <c r="S20" s="147"/>
      <c r="T20" s="147"/>
      <c r="U20" s="143"/>
    </row>
    <row r="21" spans="1:21" s="144" customFormat="1">
      <c r="A21" s="145" t="s">
        <v>138</v>
      </c>
      <c r="B21" s="146">
        <f t="shared" si="3"/>
        <v>0</v>
      </c>
      <c r="C21" s="147"/>
      <c r="D21" s="147"/>
      <c r="E21" s="147"/>
      <c r="F21" s="147"/>
      <c r="G21" s="147"/>
      <c r="H21" s="147"/>
      <c r="I21" s="147"/>
      <c r="J21" s="147"/>
      <c r="K21" s="147"/>
      <c r="L21" s="147"/>
      <c r="M21" s="147"/>
      <c r="N21" s="147"/>
      <c r="O21" s="147"/>
      <c r="P21" s="147"/>
      <c r="Q21" s="147"/>
      <c r="R21" s="516">
        <f t="shared" si="4"/>
        <v>0</v>
      </c>
      <c r="S21" s="147"/>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16">
        <f t="shared" si="4"/>
        <v>0</v>
      </c>
      <c r="S22" s="147"/>
      <c r="T22" s="147"/>
      <c r="U22" s="143"/>
    </row>
    <row r="23" spans="1:21" s="144" customFormat="1">
      <c r="A23" s="145" t="s">
        <v>140</v>
      </c>
      <c r="B23" s="146">
        <f t="shared" si="3"/>
        <v>0</v>
      </c>
      <c r="C23" s="147"/>
      <c r="D23" s="147"/>
      <c r="E23" s="147"/>
      <c r="F23" s="147"/>
      <c r="G23" s="147"/>
      <c r="H23" s="147"/>
      <c r="I23" s="147"/>
      <c r="J23" s="147"/>
      <c r="K23" s="147"/>
      <c r="L23" s="147"/>
      <c r="M23" s="147"/>
      <c r="N23" s="147"/>
      <c r="O23" s="147"/>
      <c r="P23" s="147"/>
      <c r="Q23" s="147"/>
      <c r="R23" s="516">
        <f t="shared" si="4"/>
        <v>0</v>
      </c>
      <c r="S23" s="147"/>
      <c r="T23" s="147"/>
      <c r="U23" s="143"/>
    </row>
    <row r="24" spans="1:21" s="144" customFormat="1">
      <c r="A24" s="508" t="s">
        <v>1629</v>
      </c>
      <c r="B24" s="146">
        <f t="shared" si="3"/>
        <v>0</v>
      </c>
      <c r="C24" s="147"/>
      <c r="D24" s="147"/>
      <c r="E24" s="147"/>
      <c r="F24" s="147"/>
      <c r="G24" s="147"/>
      <c r="H24" s="147"/>
      <c r="I24" s="147"/>
      <c r="J24" s="147"/>
      <c r="K24" s="147"/>
      <c r="L24" s="147"/>
      <c r="M24" s="147"/>
      <c r="N24" s="147"/>
      <c r="O24" s="147"/>
      <c r="P24" s="147"/>
      <c r="Q24" s="147"/>
      <c r="R24" s="516">
        <f t="shared" si="4"/>
        <v>0</v>
      </c>
      <c r="S24" s="147"/>
      <c r="T24" s="147"/>
      <c r="U24" s="143"/>
    </row>
    <row r="25" spans="1:21" s="144" customFormat="1">
      <c r="A25" s="1143" t="s">
        <v>34</v>
      </c>
      <c r="B25" s="146">
        <f t="shared" si="3"/>
        <v>0</v>
      </c>
      <c r="C25" s="147"/>
      <c r="D25" s="147"/>
      <c r="E25" s="147"/>
      <c r="F25" s="147"/>
      <c r="G25" s="147"/>
      <c r="H25" s="147"/>
      <c r="I25" s="147"/>
      <c r="J25" s="147"/>
      <c r="K25" s="147"/>
      <c r="L25" s="147"/>
      <c r="M25" s="147"/>
      <c r="N25" s="147"/>
      <c r="O25" s="147"/>
      <c r="P25" s="147"/>
      <c r="Q25" s="147"/>
      <c r="R25" s="516">
        <f t="shared" si="4"/>
        <v>0</v>
      </c>
      <c r="S25" s="147"/>
      <c r="T25" s="147"/>
      <c r="U25" s="143"/>
    </row>
    <row r="26" spans="1:21" s="144" customFormat="1">
      <c r="A26" s="149" t="s">
        <v>133</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42">
        <f>SUM(R17:R25)</f>
        <v>0</v>
      </c>
      <c r="S26" s="150">
        <f>SUM(S17:S25)</f>
        <v>0</v>
      </c>
      <c r="T26" s="150">
        <f>SUM(T17:T25)</f>
        <v>0</v>
      </c>
      <c r="U26" s="143"/>
    </row>
    <row r="27" spans="1:21" s="144" customFormat="1">
      <c r="A27" s="149" t="s">
        <v>141</v>
      </c>
      <c r="B27" s="146">
        <f>SUM(C27:D27)</f>
        <v>0</v>
      </c>
      <c r="C27" s="147"/>
      <c r="D27" s="147"/>
      <c r="E27" s="147"/>
      <c r="F27" s="147"/>
      <c r="G27" s="147"/>
      <c r="H27" s="147"/>
      <c r="I27" s="147"/>
      <c r="J27" s="147"/>
      <c r="K27" s="147"/>
      <c r="L27" s="147"/>
      <c r="M27" s="147"/>
      <c r="N27" s="147"/>
      <c r="O27" s="147"/>
      <c r="P27" s="147"/>
      <c r="Q27" s="147"/>
      <c r="R27" s="516">
        <f t="shared" si="4"/>
        <v>0</v>
      </c>
      <c r="S27" s="147"/>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598</v>
      </c>
      <c r="B29" s="146">
        <f t="shared" ref="B29:B38" si="6">SUM(C29+D29)</f>
        <v>2049795</v>
      </c>
      <c r="C29" s="147">
        <v>2049795</v>
      </c>
      <c r="D29" s="147"/>
      <c r="E29" s="147">
        <v>2049795</v>
      </c>
      <c r="F29" s="147"/>
      <c r="G29" s="147"/>
      <c r="H29" s="147"/>
      <c r="I29" s="147"/>
      <c r="J29" s="147"/>
      <c r="K29" s="147"/>
      <c r="L29" s="147"/>
      <c r="M29" s="147"/>
      <c r="N29" s="147"/>
      <c r="O29" s="147"/>
      <c r="P29" s="147"/>
      <c r="Q29" s="147"/>
      <c r="R29" s="516">
        <f t="shared" ref="R29:R37" si="7">SUM(E29:Q29)</f>
        <v>2049795</v>
      </c>
      <c r="S29" s="147">
        <f>R29</f>
        <v>2049795</v>
      </c>
      <c r="T29" s="147"/>
      <c r="U29" s="143"/>
    </row>
    <row r="30" spans="1:21" s="144" customFormat="1">
      <c r="A30" s="145" t="s">
        <v>599</v>
      </c>
      <c r="B30" s="146">
        <f t="shared" si="6"/>
        <v>15594023</v>
      </c>
      <c r="C30" s="147">
        <v>15594023</v>
      </c>
      <c r="D30" s="147"/>
      <c r="E30" s="147">
        <f>C30-F30-G30-H30</f>
        <v>5317147</v>
      </c>
      <c r="F30" s="147">
        <v>7703530</v>
      </c>
      <c r="G30" s="147">
        <v>1573346</v>
      </c>
      <c r="H30" s="147">
        <v>1000000</v>
      </c>
      <c r="I30" s="147"/>
      <c r="J30" s="147"/>
      <c r="K30" s="147"/>
      <c r="L30" s="147"/>
      <c r="M30" s="147"/>
      <c r="N30" s="147"/>
      <c r="O30" s="147"/>
      <c r="P30" s="147"/>
      <c r="Q30" s="147"/>
      <c r="R30" s="516">
        <f t="shared" si="7"/>
        <v>15594023</v>
      </c>
      <c r="S30" s="147">
        <f t="shared" ref="S30:S37" si="8">R30</f>
        <v>15594023</v>
      </c>
      <c r="T30" s="147"/>
      <c r="U30" s="143"/>
    </row>
    <row r="31" spans="1:21" s="144" customFormat="1">
      <c r="A31" s="145" t="s">
        <v>600</v>
      </c>
      <c r="B31" s="146">
        <f t="shared" si="6"/>
        <v>1122147</v>
      </c>
      <c r="C31" s="147">
        <v>1122147</v>
      </c>
      <c r="D31" s="147"/>
      <c r="E31" s="147">
        <v>1122147</v>
      </c>
      <c r="F31" s="147"/>
      <c r="G31" s="147"/>
      <c r="H31" s="147"/>
      <c r="I31" s="147"/>
      <c r="J31" s="147"/>
      <c r="K31" s="147"/>
      <c r="L31" s="147"/>
      <c r="M31" s="147"/>
      <c r="N31" s="147"/>
      <c r="O31" s="147"/>
      <c r="P31" s="147"/>
      <c r="Q31" s="147"/>
      <c r="R31" s="516">
        <f t="shared" si="7"/>
        <v>1122147</v>
      </c>
      <c r="S31" s="147">
        <f t="shared" si="8"/>
        <v>1122147</v>
      </c>
      <c r="T31" s="147"/>
      <c r="U31" s="143"/>
    </row>
    <row r="32" spans="1:21" s="144" customFormat="1">
      <c r="A32" s="145" t="s">
        <v>137</v>
      </c>
      <c r="B32" s="146">
        <f t="shared" si="6"/>
        <v>374049</v>
      </c>
      <c r="C32" s="147">
        <v>374049</v>
      </c>
      <c r="D32" s="147"/>
      <c r="E32" s="147">
        <v>374049</v>
      </c>
      <c r="F32" s="147"/>
      <c r="G32" s="147"/>
      <c r="H32" s="147"/>
      <c r="I32" s="147"/>
      <c r="J32" s="147"/>
      <c r="K32" s="147"/>
      <c r="L32" s="147"/>
      <c r="M32" s="147"/>
      <c r="N32" s="147"/>
      <c r="O32" s="147"/>
      <c r="P32" s="147"/>
      <c r="Q32" s="147"/>
      <c r="R32" s="516">
        <f t="shared" si="7"/>
        <v>374049</v>
      </c>
      <c r="S32" s="147">
        <f t="shared" si="8"/>
        <v>374049</v>
      </c>
      <c r="T32" s="147"/>
      <c r="U32" s="143"/>
    </row>
    <row r="33" spans="1:21" s="144" customFormat="1">
      <c r="A33" s="145" t="s">
        <v>138</v>
      </c>
      <c r="B33" s="146">
        <f t="shared" si="6"/>
        <v>1122147</v>
      </c>
      <c r="C33" s="147">
        <v>1122147</v>
      </c>
      <c r="D33" s="147"/>
      <c r="E33" s="147">
        <v>1122147</v>
      </c>
      <c r="F33" s="147"/>
      <c r="G33" s="147"/>
      <c r="H33" s="147"/>
      <c r="I33" s="147"/>
      <c r="J33" s="147"/>
      <c r="K33" s="147"/>
      <c r="L33" s="147"/>
      <c r="M33" s="147"/>
      <c r="N33" s="147"/>
      <c r="O33" s="147"/>
      <c r="P33" s="147"/>
      <c r="Q33" s="147"/>
      <c r="R33" s="516">
        <f t="shared" si="7"/>
        <v>1122147</v>
      </c>
      <c r="S33" s="147">
        <f t="shared" si="8"/>
        <v>1122147</v>
      </c>
      <c r="T33" s="147"/>
      <c r="U33" s="143"/>
    </row>
    <row r="34" spans="1:21" s="144" customFormat="1">
      <c r="A34" s="145" t="s">
        <v>139</v>
      </c>
      <c r="B34" s="146">
        <f t="shared" si="6"/>
        <v>0</v>
      </c>
      <c r="C34" s="147"/>
      <c r="D34" s="147"/>
      <c r="E34" s="147"/>
      <c r="F34" s="147"/>
      <c r="G34" s="147"/>
      <c r="H34" s="147"/>
      <c r="I34" s="147"/>
      <c r="J34" s="147"/>
      <c r="K34" s="147"/>
      <c r="L34" s="147"/>
      <c r="M34" s="147"/>
      <c r="N34" s="147"/>
      <c r="O34" s="147"/>
      <c r="P34" s="147"/>
      <c r="Q34" s="147"/>
      <c r="R34" s="516">
        <f t="shared" si="7"/>
        <v>0</v>
      </c>
      <c r="S34" s="147">
        <f t="shared" si="8"/>
        <v>0</v>
      </c>
      <c r="T34" s="147"/>
      <c r="U34" s="143"/>
    </row>
    <row r="35" spans="1:21" s="144" customFormat="1">
      <c r="A35" s="145" t="s">
        <v>140</v>
      </c>
      <c r="B35" s="146">
        <f t="shared" si="6"/>
        <v>450000</v>
      </c>
      <c r="C35" s="147">
        <v>450000</v>
      </c>
      <c r="D35" s="147"/>
      <c r="E35" s="147">
        <v>450000</v>
      </c>
      <c r="F35" s="147"/>
      <c r="G35" s="147"/>
      <c r="H35" s="147"/>
      <c r="I35" s="147"/>
      <c r="J35" s="147"/>
      <c r="K35" s="147"/>
      <c r="L35" s="147"/>
      <c r="M35" s="147"/>
      <c r="N35" s="147"/>
      <c r="O35" s="147"/>
      <c r="P35" s="147"/>
      <c r="Q35" s="147"/>
      <c r="R35" s="516">
        <f t="shared" si="7"/>
        <v>450000</v>
      </c>
      <c r="S35" s="147">
        <f t="shared" si="8"/>
        <v>450000</v>
      </c>
      <c r="T35" s="147"/>
      <c r="U35" s="143"/>
    </row>
    <row r="36" spans="1:21" s="144" customFormat="1">
      <c r="A36" s="283" t="s">
        <v>1629</v>
      </c>
      <c r="B36" s="146">
        <f t="shared" si="6"/>
        <v>0</v>
      </c>
      <c r="C36" s="147"/>
      <c r="D36" s="147"/>
      <c r="E36" s="147"/>
      <c r="F36" s="147"/>
      <c r="G36" s="147"/>
      <c r="H36" s="147"/>
      <c r="I36" s="147"/>
      <c r="J36" s="147"/>
      <c r="K36" s="147"/>
      <c r="L36" s="147"/>
      <c r="M36" s="147"/>
      <c r="N36" s="147"/>
      <c r="O36" s="147"/>
      <c r="P36" s="147"/>
      <c r="Q36" s="147"/>
      <c r="R36" s="516">
        <f t="shared" si="7"/>
        <v>0</v>
      </c>
      <c r="S36" s="147">
        <f t="shared" si="8"/>
        <v>0</v>
      </c>
      <c r="T36" s="147"/>
      <c r="U36" s="143"/>
    </row>
    <row r="37" spans="1:21" s="144" customFormat="1">
      <c r="A37" s="1143" t="s">
        <v>34</v>
      </c>
      <c r="B37" s="146">
        <f t="shared" si="6"/>
        <v>0</v>
      </c>
      <c r="C37" s="147"/>
      <c r="D37" s="147"/>
      <c r="E37" s="147"/>
      <c r="F37" s="147"/>
      <c r="G37" s="147"/>
      <c r="H37" s="147"/>
      <c r="I37" s="147"/>
      <c r="J37" s="147"/>
      <c r="K37" s="147"/>
      <c r="L37" s="147"/>
      <c r="M37" s="147"/>
      <c r="N37" s="147"/>
      <c r="O37" s="147"/>
      <c r="P37" s="147"/>
      <c r="Q37" s="147"/>
      <c r="R37" s="516">
        <f t="shared" si="7"/>
        <v>0</v>
      </c>
      <c r="S37" s="147">
        <f t="shared" si="8"/>
        <v>0</v>
      </c>
      <c r="T37" s="147"/>
      <c r="U37" s="143"/>
    </row>
    <row r="38" spans="1:21" s="144" customFormat="1">
      <c r="A38" s="149" t="s">
        <v>143</v>
      </c>
      <c r="B38" s="146">
        <f t="shared" si="6"/>
        <v>20712161</v>
      </c>
      <c r="C38" s="146">
        <f>SUM(C29:C37)</f>
        <v>20712161</v>
      </c>
      <c r="D38" s="146">
        <f t="shared" ref="D38:Q38" si="9">SUM(D29:D37)</f>
        <v>0</v>
      </c>
      <c r="E38" s="146">
        <f t="shared" si="9"/>
        <v>10435285</v>
      </c>
      <c r="F38" s="146">
        <f t="shared" si="9"/>
        <v>7703530</v>
      </c>
      <c r="G38" s="146">
        <f t="shared" si="9"/>
        <v>1573346</v>
      </c>
      <c r="H38" s="146">
        <f t="shared" si="9"/>
        <v>1000000</v>
      </c>
      <c r="I38" s="146">
        <f t="shared" si="9"/>
        <v>0</v>
      </c>
      <c r="J38" s="146">
        <f t="shared" si="9"/>
        <v>0</v>
      </c>
      <c r="K38" s="146">
        <f t="shared" si="9"/>
        <v>0</v>
      </c>
      <c r="L38" s="146">
        <f t="shared" si="9"/>
        <v>0</v>
      </c>
      <c r="M38" s="146">
        <f t="shared" si="9"/>
        <v>0</v>
      </c>
      <c r="N38" s="146">
        <f t="shared" si="9"/>
        <v>0</v>
      </c>
      <c r="O38" s="146">
        <f t="shared" si="9"/>
        <v>0</v>
      </c>
      <c r="P38" s="146">
        <f t="shared" si="9"/>
        <v>0</v>
      </c>
      <c r="Q38" s="146">
        <f t="shared" si="9"/>
        <v>0</v>
      </c>
      <c r="R38" s="342">
        <f>SUM(R29:R37)</f>
        <v>20712161</v>
      </c>
      <c r="S38" s="150">
        <f>SUM(S29:S37)</f>
        <v>20712161</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405243</v>
      </c>
      <c r="C40" s="147">
        <v>405243</v>
      </c>
      <c r="D40" s="147"/>
      <c r="E40" s="147">
        <v>405243</v>
      </c>
      <c r="F40" s="147"/>
      <c r="G40" s="147"/>
      <c r="H40" s="147"/>
      <c r="I40" s="147"/>
      <c r="J40" s="147"/>
      <c r="K40" s="147"/>
      <c r="L40" s="147"/>
      <c r="M40" s="147"/>
      <c r="N40" s="147"/>
      <c r="O40" s="147"/>
      <c r="P40" s="147"/>
      <c r="Q40" s="147"/>
      <c r="R40" s="516">
        <f>SUM(E40:Q40)</f>
        <v>405243</v>
      </c>
      <c r="S40" s="147">
        <f>R40</f>
        <v>405243</v>
      </c>
      <c r="T40" s="147"/>
      <c r="U40" s="143"/>
    </row>
    <row r="41" spans="1:21" s="144" customFormat="1">
      <c r="A41" s="145" t="s">
        <v>146</v>
      </c>
      <c r="B41" s="146">
        <f>SUM(C41+D41)</f>
        <v>405243</v>
      </c>
      <c r="C41" s="147">
        <v>405243</v>
      </c>
      <c r="D41" s="147"/>
      <c r="E41" s="147">
        <v>405243</v>
      </c>
      <c r="F41" s="147"/>
      <c r="G41" s="147"/>
      <c r="H41" s="147"/>
      <c r="I41" s="147"/>
      <c r="J41" s="147"/>
      <c r="K41" s="147"/>
      <c r="L41" s="147"/>
      <c r="M41" s="147"/>
      <c r="N41" s="147"/>
      <c r="O41" s="147"/>
      <c r="P41" s="147"/>
      <c r="Q41" s="147"/>
      <c r="R41" s="516">
        <f>SUM(E41:Q41)</f>
        <v>405243</v>
      </c>
      <c r="S41" s="147">
        <f>R41</f>
        <v>405243</v>
      </c>
      <c r="T41" s="147"/>
      <c r="U41" s="143"/>
    </row>
    <row r="42" spans="1:21" s="144" customFormat="1">
      <c r="A42" s="149" t="s">
        <v>147</v>
      </c>
      <c r="B42" s="146">
        <f>SUM(C42:D42)</f>
        <v>810486</v>
      </c>
      <c r="C42" s="146">
        <f>SUM(C39:C41)</f>
        <v>810486</v>
      </c>
      <c r="D42" s="146">
        <f>SUM(D39:D41)</f>
        <v>0</v>
      </c>
      <c r="E42" s="146">
        <f t="shared" ref="E42:T42" si="10">SUM(E40:E41)</f>
        <v>810486</v>
      </c>
      <c r="F42" s="146">
        <f t="shared" si="10"/>
        <v>0</v>
      </c>
      <c r="G42" s="146">
        <f t="shared" si="10"/>
        <v>0</v>
      </c>
      <c r="H42" s="146">
        <f t="shared" si="10"/>
        <v>0</v>
      </c>
      <c r="I42" s="146">
        <f t="shared" si="10"/>
        <v>0</v>
      </c>
      <c r="J42" s="146">
        <f t="shared" si="10"/>
        <v>0</v>
      </c>
      <c r="K42" s="146">
        <f t="shared" si="10"/>
        <v>0</v>
      </c>
      <c r="L42" s="146">
        <f t="shared" si="10"/>
        <v>0</v>
      </c>
      <c r="M42" s="146">
        <f t="shared" si="10"/>
        <v>0</v>
      </c>
      <c r="N42" s="146">
        <f t="shared" si="10"/>
        <v>0</v>
      </c>
      <c r="O42" s="146">
        <f t="shared" si="10"/>
        <v>0</v>
      </c>
      <c r="P42" s="146">
        <f t="shared" si="10"/>
        <v>0</v>
      </c>
      <c r="Q42" s="146">
        <f t="shared" si="10"/>
        <v>0</v>
      </c>
      <c r="R42" s="342">
        <f>SUM(R40:R41)</f>
        <v>810486</v>
      </c>
      <c r="S42" s="150">
        <f t="shared" si="10"/>
        <v>810486</v>
      </c>
      <c r="T42" s="150">
        <f t="shared" si="10"/>
        <v>0</v>
      </c>
      <c r="U42" s="143"/>
    </row>
    <row r="43" spans="1:21" s="144" customFormat="1">
      <c r="A43" s="149" t="s">
        <v>148</v>
      </c>
      <c r="B43" s="146">
        <f>SUM(C43:D43)</f>
        <v>250000</v>
      </c>
      <c r="C43" s="147">
        <v>250000</v>
      </c>
      <c r="D43" s="147"/>
      <c r="E43" s="147">
        <v>250000</v>
      </c>
      <c r="F43" s="147"/>
      <c r="G43" s="147"/>
      <c r="H43" s="147"/>
      <c r="I43" s="147"/>
      <c r="J43" s="147"/>
      <c r="K43" s="147"/>
      <c r="L43" s="147"/>
      <c r="M43" s="147"/>
      <c r="N43" s="147"/>
      <c r="O43" s="147"/>
      <c r="P43" s="147"/>
      <c r="Q43" s="147"/>
      <c r="R43" s="516">
        <f>SUM(E43:Q43)</f>
        <v>250000</v>
      </c>
      <c r="S43" s="147">
        <f>R43</f>
        <v>250000</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1">SUM(C45+D45)</f>
        <v>974000</v>
      </c>
      <c r="C45" s="147">
        <v>974000</v>
      </c>
      <c r="D45" s="147"/>
      <c r="E45" s="147">
        <v>974000</v>
      </c>
      <c r="F45" s="147"/>
      <c r="G45" s="147"/>
      <c r="H45" s="147"/>
      <c r="I45" s="147"/>
      <c r="J45" s="147"/>
      <c r="K45" s="147"/>
      <c r="L45" s="147"/>
      <c r="M45" s="147"/>
      <c r="N45" s="147"/>
      <c r="O45" s="147"/>
      <c r="P45" s="147"/>
      <c r="Q45" s="147"/>
      <c r="R45" s="516">
        <f t="shared" ref="R45:R53" si="12">SUM(E45:Q45)</f>
        <v>974000</v>
      </c>
      <c r="S45" s="147">
        <f>R45</f>
        <v>974000</v>
      </c>
      <c r="T45" s="147"/>
      <c r="U45" s="143"/>
    </row>
    <row r="46" spans="1:21" s="144" customFormat="1">
      <c r="A46" s="145" t="s">
        <v>151</v>
      </c>
      <c r="B46" s="146">
        <f t="shared" si="11"/>
        <v>265615</v>
      </c>
      <c r="C46" s="147">
        <v>265615</v>
      </c>
      <c r="D46" s="147"/>
      <c r="E46" s="147">
        <v>265615</v>
      </c>
      <c r="F46" s="147"/>
      <c r="G46" s="147"/>
      <c r="H46" s="147"/>
      <c r="I46" s="147"/>
      <c r="J46" s="147"/>
      <c r="K46" s="147"/>
      <c r="L46" s="147"/>
      <c r="M46" s="147"/>
      <c r="N46" s="147"/>
      <c r="O46" s="147"/>
      <c r="P46" s="147"/>
      <c r="Q46" s="147"/>
      <c r="R46" s="516">
        <f t="shared" si="12"/>
        <v>265615</v>
      </c>
      <c r="S46" s="147">
        <f t="shared" ref="S46:S53" si="13">R46</f>
        <v>265615</v>
      </c>
      <c r="T46" s="147"/>
      <c r="U46" s="143"/>
    </row>
    <row r="47" spans="1:21" s="144" customFormat="1">
      <c r="A47" s="186" t="s">
        <v>152</v>
      </c>
      <c r="B47" s="146">
        <f t="shared" si="11"/>
        <v>35000</v>
      </c>
      <c r="C47" s="147">
        <v>35000</v>
      </c>
      <c r="D47" s="147"/>
      <c r="E47" s="147">
        <v>35000</v>
      </c>
      <c r="F47" s="147"/>
      <c r="G47" s="147"/>
      <c r="H47" s="147"/>
      <c r="I47" s="147"/>
      <c r="J47" s="147"/>
      <c r="K47" s="147"/>
      <c r="L47" s="147"/>
      <c r="M47" s="147"/>
      <c r="N47" s="147"/>
      <c r="O47" s="147"/>
      <c r="P47" s="147"/>
      <c r="Q47" s="147"/>
      <c r="R47" s="516">
        <f t="shared" si="12"/>
        <v>35000</v>
      </c>
      <c r="S47" s="147">
        <f t="shared" si="13"/>
        <v>35000</v>
      </c>
      <c r="T47" s="147"/>
      <c r="U47" s="143"/>
    </row>
    <row r="48" spans="1:21" s="144" customFormat="1">
      <c r="A48" s="145" t="s">
        <v>153</v>
      </c>
      <c r="B48" s="146">
        <f t="shared" si="11"/>
        <v>0</v>
      </c>
      <c r="C48" s="147"/>
      <c r="D48" s="147"/>
      <c r="E48" s="147"/>
      <c r="F48" s="147"/>
      <c r="G48" s="147"/>
      <c r="H48" s="147"/>
      <c r="I48" s="147"/>
      <c r="J48" s="147"/>
      <c r="K48" s="147"/>
      <c r="L48" s="147"/>
      <c r="M48" s="147"/>
      <c r="N48" s="147"/>
      <c r="O48" s="147"/>
      <c r="P48" s="147"/>
      <c r="Q48" s="147"/>
      <c r="R48" s="516">
        <f t="shared" si="12"/>
        <v>0</v>
      </c>
      <c r="S48" s="147">
        <f t="shared" si="13"/>
        <v>0</v>
      </c>
      <c r="T48" s="147"/>
      <c r="U48" s="143"/>
    </row>
    <row r="49" spans="1:21" s="144" customFormat="1">
      <c r="A49" s="145" t="s">
        <v>57</v>
      </c>
      <c r="B49" s="146">
        <f t="shared" si="11"/>
        <v>188358</v>
      </c>
      <c r="C49" s="147">
        <v>188358</v>
      </c>
      <c r="D49" s="147"/>
      <c r="E49" s="147">
        <v>188358</v>
      </c>
      <c r="F49" s="147"/>
      <c r="G49" s="147"/>
      <c r="H49" s="147"/>
      <c r="I49" s="147"/>
      <c r="J49" s="147"/>
      <c r="K49" s="147"/>
      <c r="L49" s="147"/>
      <c r="M49" s="147"/>
      <c r="N49" s="147"/>
      <c r="O49" s="147"/>
      <c r="P49" s="147"/>
      <c r="Q49" s="147"/>
      <c r="R49" s="516">
        <f t="shared" si="12"/>
        <v>188358</v>
      </c>
      <c r="S49" s="147"/>
      <c r="T49" s="147"/>
      <c r="U49" s="143"/>
    </row>
    <row r="50" spans="1:21" s="144" customFormat="1">
      <c r="A50" s="145" t="s">
        <v>156</v>
      </c>
      <c r="B50" s="146">
        <f t="shared" si="11"/>
        <v>40000</v>
      </c>
      <c r="C50" s="147">
        <v>40000</v>
      </c>
      <c r="D50" s="147"/>
      <c r="E50" s="147">
        <v>40000</v>
      </c>
      <c r="F50" s="147"/>
      <c r="G50" s="147"/>
      <c r="H50" s="147"/>
      <c r="I50" s="147"/>
      <c r="J50" s="147"/>
      <c r="K50" s="147"/>
      <c r="L50" s="147"/>
      <c r="M50" s="147"/>
      <c r="N50" s="147"/>
      <c r="O50" s="147"/>
      <c r="P50" s="147"/>
      <c r="Q50" s="147"/>
      <c r="R50" s="516">
        <f t="shared" si="12"/>
        <v>40000</v>
      </c>
      <c r="S50" s="147">
        <f t="shared" si="13"/>
        <v>40000</v>
      </c>
      <c r="T50" s="147"/>
      <c r="U50" s="143"/>
    </row>
    <row r="51" spans="1:21" s="144" customFormat="1">
      <c r="A51" s="283" t="s">
        <v>154</v>
      </c>
      <c r="B51" s="146">
        <f t="shared" si="11"/>
        <v>53217</v>
      </c>
      <c r="C51" s="147">
        <v>53217</v>
      </c>
      <c r="D51" s="147"/>
      <c r="E51" s="147">
        <v>53217</v>
      </c>
      <c r="F51" s="147"/>
      <c r="G51" s="147"/>
      <c r="H51" s="147"/>
      <c r="I51" s="147"/>
      <c r="J51" s="147"/>
      <c r="K51" s="147"/>
      <c r="L51" s="147"/>
      <c r="M51" s="147"/>
      <c r="N51" s="147"/>
      <c r="O51" s="147"/>
      <c r="P51" s="147"/>
      <c r="Q51" s="147"/>
      <c r="R51" s="516">
        <f t="shared" si="12"/>
        <v>53217</v>
      </c>
      <c r="S51" s="147">
        <f t="shared" si="13"/>
        <v>53217</v>
      </c>
      <c r="T51" s="147"/>
      <c r="U51" s="143"/>
    </row>
    <row r="52" spans="1:21" s="144" customFormat="1">
      <c r="A52" s="145" t="s">
        <v>155</v>
      </c>
      <c r="B52" s="146">
        <f t="shared" si="11"/>
        <v>0</v>
      </c>
      <c r="C52" s="147"/>
      <c r="D52" s="147"/>
      <c r="E52" s="147"/>
      <c r="F52" s="147"/>
      <c r="G52" s="147"/>
      <c r="H52" s="147"/>
      <c r="I52" s="147"/>
      <c r="J52" s="147"/>
      <c r="K52" s="147"/>
      <c r="L52" s="147"/>
      <c r="M52" s="147"/>
      <c r="N52" s="147"/>
      <c r="O52" s="147"/>
      <c r="P52" s="147"/>
      <c r="Q52" s="147"/>
      <c r="R52" s="516">
        <f t="shared" si="12"/>
        <v>0</v>
      </c>
      <c r="S52" s="147">
        <f t="shared" si="13"/>
        <v>0</v>
      </c>
      <c r="T52" s="147"/>
      <c r="U52" s="143"/>
    </row>
    <row r="53" spans="1:21" s="144" customFormat="1">
      <c r="A53" s="1143" t="s">
        <v>2750</v>
      </c>
      <c r="B53" s="146">
        <f t="shared" si="11"/>
        <v>20000</v>
      </c>
      <c r="C53" s="147">
        <v>20000</v>
      </c>
      <c r="D53" s="147"/>
      <c r="E53" s="147">
        <v>20000</v>
      </c>
      <c r="F53" s="147"/>
      <c r="G53" s="147"/>
      <c r="H53" s="147"/>
      <c r="I53" s="147"/>
      <c r="J53" s="147"/>
      <c r="K53" s="147"/>
      <c r="L53" s="147"/>
      <c r="M53" s="147"/>
      <c r="N53" s="147"/>
      <c r="O53" s="147"/>
      <c r="P53" s="147"/>
      <c r="Q53" s="147"/>
      <c r="R53" s="516">
        <f t="shared" si="12"/>
        <v>20000</v>
      </c>
      <c r="S53" s="147">
        <f t="shared" si="13"/>
        <v>20000</v>
      </c>
      <c r="T53" s="147"/>
      <c r="U53" s="143"/>
    </row>
    <row r="54" spans="1:21" s="153" customFormat="1">
      <c r="A54" s="149" t="s">
        <v>157</v>
      </c>
      <c r="B54" s="150">
        <f>SUM(C54:D54)</f>
        <v>1576190</v>
      </c>
      <c r="C54" s="150">
        <f t="shared" ref="C54:T54" si="14">SUM(C45:C53)</f>
        <v>1576190</v>
      </c>
      <c r="D54" s="150">
        <f t="shared" si="14"/>
        <v>0</v>
      </c>
      <c r="E54" s="150">
        <f t="shared" si="14"/>
        <v>1576190</v>
      </c>
      <c r="F54" s="150">
        <f t="shared" si="14"/>
        <v>0</v>
      </c>
      <c r="G54" s="150">
        <f t="shared" si="14"/>
        <v>0</v>
      </c>
      <c r="H54" s="150">
        <f t="shared" si="14"/>
        <v>0</v>
      </c>
      <c r="I54" s="150">
        <f t="shared" si="14"/>
        <v>0</v>
      </c>
      <c r="J54" s="150">
        <f t="shared" si="14"/>
        <v>0</v>
      </c>
      <c r="K54" s="150">
        <f t="shared" si="14"/>
        <v>0</v>
      </c>
      <c r="L54" s="150">
        <f t="shared" si="14"/>
        <v>0</v>
      </c>
      <c r="M54" s="150">
        <f t="shared" si="14"/>
        <v>0</v>
      </c>
      <c r="N54" s="150">
        <f t="shared" si="14"/>
        <v>0</v>
      </c>
      <c r="O54" s="150">
        <f t="shared" si="14"/>
        <v>0</v>
      </c>
      <c r="P54" s="150">
        <f t="shared" si="14"/>
        <v>0</v>
      </c>
      <c r="Q54" s="150">
        <f t="shared" si="14"/>
        <v>0</v>
      </c>
      <c r="R54" s="342">
        <f t="shared" si="14"/>
        <v>1576190</v>
      </c>
      <c r="S54" s="150">
        <f t="shared" si="14"/>
        <v>1387832</v>
      </c>
      <c r="T54" s="150">
        <f t="shared" si="14"/>
        <v>0</v>
      </c>
      <c r="U54" s="152"/>
    </row>
    <row r="55" spans="1:21" s="144" customFormat="1">
      <c r="A55" s="141" t="s">
        <v>418</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5">SUM(C56+D56)</f>
        <v>0</v>
      </c>
      <c r="C56" s="147"/>
      <c r="D56" s="147"/>
      <c r="E56" s="147"/>
      <c r="F56" s="147"/>
      <c r="G56" s="147"/>
      <c r="H56" s="147"/>
      <c r="I56" s="147"/>
      <c r="J56" s="147"/>
      <c r="K56" s="147"/>
      <c r="L56" s="147"/>
      <c r="M56" s="147"/>
      <c r="N56" s="147"/>
      <c r="O56" s="147"/>
      <c r="P56" s="147"/>
      <c r="Q56" s="147"/>
      <c r="R56" s="516">
        <f t="shared" ref="R56:R61" si="16">SUM(E56:Q56)</f>
        <v>0</v>
      </c>
      <c r="S56" s="148"/>
      <c r="T56" s="148"/>
      <c r="U56" s="143"/>
    </row>
    <row r="57" spans="1:21" s="192" customFormat="1">
      <c r="A57" s="186" t="s">
        <v>152</v>
      </c>
      <c r="B57" s="193">
        <f t="shared" si="15"/>
        <v>10000</v>
      </c>
      <c r="C57" s="190">
        <v>10000</v>
      </c>
      <c r="D57" s="190"/>
      <c r="E57" s="190">
        <v>10000</v>
      </c>
      <c r="F57" s="190"/>
      <c r="G57" s="190"/>
      <c r="H57" s="190"/>
      <c r="I57" s="190"/>
      <c r="J57" s="190"/>
      <c r="K57" s="190"/>
      <c r="L57" s="190"/>
      <c r="M57" s="190"/>
      <c r="N57" s="190"/>
      <c r="O57" s="190"/>
      <c r="P57" s="190"/>
      <c r="Q57" s="190"/>
      <c r="R57" s="516">
        <f t="shared" si="16"/>
        <v>10000</v>
      </c>
      <c r="S57" s="194"/>
      <c r="T57" s="194"/>
      <c r="U57" s="191"/>
    </row>
    <row r="58" spans="1:21" s="144" customFormat="1">
      <c r="A58" s="145" t="s">
        <v>156</v>
      </c>
      <c r="B58" s="146">
        <f t="shared" si="15"/>
        <v>5000</v>
      </c>
      <c r="C58" s="147">
        <v>5000</v>
      </c>
      <c r="D58" s="147"/>
      <c r="E58" s="147">
        <v>5000</v>
      </c>
      <c r="F58" s="147"/>
      <c r="G58" s="147"/>
      <c r="H58" s="147"/>
      <c r="I58" s="147"/>
      <c r="J58" s="147"/>
      <c r="K58" s="147"/>
      <c r="L58" s="147"/>
      <c r="M58" s="147"/>
      <c r="N58" s="147"/>
      <c r="O58" s="147"/>
      <c r="P58" s="147"/>
      <c r="Q58" s="147"/>
      <c r="R58" s="516">
        <f t="shared" si="16"/>
        <v>5000</v>
      </c>
      <c r="S58" s="148"/>
      <c r="T58" s="148"/>
      <c r="U58" s="143"/>
    </row>
    <row r="59" spans="1:21" s="144" customFormat="1">
      <c r="A59" s="283" t="s">
        <v>154</v>
      </c>
      <c r="B59" s="146">
        <f t="shared" si="15"/>
        <v>0</v>
      </c>
      <c r="C59" s="147"/>
      <c r="D59" s="147"/>
      <c r="E59" s="147"/>
      <c r="F59" s="147"/>
      <c r="G59" s="147"/>
      <c r="H59" s="147"/>
      <c r="I59" s="147"/>
      <c r="J59" s="147"/>
      <c r="K59" s="147"/>
      <c r="L59" s="147"/>
      <c r="M59" s="147"/>
      <c r="N59" s="147"/>
      <c r="O59" s="147"/>
      <c r="P59" s="147"/>
      <c r="Q59" s="147"/>
      <c r="R59" s="516">
        <f t="shared" si="16"/>
        <v>0</v>
      </c>
      <c r="S59" s="148"/>
      <c r="T59" s="148"/>
      <c r="U59" s="143"/>
    </row>
    <row r="60" spans="1:21" s="144" customFormat="1">
      <c r="A60" s="145" t="s">
        <v>155</v>
      </c>
      <c r="B60" s="146">
        <f t="shared" si="15"/>
        <v>0</v>
      </c>
      <c r="C60" s="147"/>
      <c r="D60" s="147"/>
      <c r="E60" s="147"/>
      <c r="F60" s="147"/>
      <c r="G60" s="147"/>
      <c r="H60" s="147"/>
      <c r="I60" s="147"/>
      <c r="J60" s="147"/>
      <c r="K60" s="147"/>
      <c r="L60" s="147"/>
      <c r="M60" s="147"/>
      <c r="N60" s="147"/>
      <c r="O60" s="147"/>
      <c r="P60" s="147"/>
      <c r="Q60" s="147"/>
      <c r="R60" s="516">
        <f t="shared" si="16"/>
        <v>0</v>
      </c>
      <c r="S60" s="148"/>
      <c r="T60" s="148"/>
      <c r="U60" s="143"/>
    </row>
    <row r="61" spans="1:21" s="144" customFormat="1">
      <c r="A61" s="1143" t="s">
        <v>34</v>
      </c>
      <c r="B61" s="146">
        <f t="shared" si="15"/>
        <v>0</v>
      </c>
      <c r="C61" s="147"/>
      <c r="D61" s="147"/>
      <c r="E61" s="147"/>
      <c r="F61" s="147"/>
      <c r="G61" s="147"/>
      <c r="H61" s="147"/>
      <c r="I61" s="147"/>
      <c r="J61" s="147"/>
      <c r="K61" s="147"/>
      <c r="L61" s="147"/>
      <c r="M61" s="147"/>
      <c r="N61" s="147"/>
      <c r="O61" s="147"/>
      <c r="P61" s="147"/>
      <c r="Q61" s="147"/>
      <c r="R61" s="516">
        <f t="shared" si="16"/>
        <v>0</v>
      </c>
      <c r="S61" s="148"/>
      <c r="T61" s="148"/>
      <c r="U61" s="143"/>
    </row>
    <row r="62" spans="1:21" s="144" customFormat="1" ht="13.7" customHeight="1">
      <c r="A62" s="149" t="s">
        <v>301</v>
      </c>
      <c r="B62" s="146">
        <f>SUM(C62:D62)</f>
        <v>15000</v>
      </c>
      <c r="C62" s="146">
        <f t="shared" ref="C62:R62" si="17">SUM(C56:C61)</f>
        <v>15000</v>
      </c>
      <c r="D62" s="146">
        <f t="shared" si="17"/>
        <v>0</v>
      </c>
      <c r="E62" s="146">
        <f t="shared" si="17"/>
        <v>15000</v>
      </c>
      <c r="F62" s="146">
        <f t="shared" si="17"/>
        <v>0</v>
      </c>
      <c r="G62" s="146">
        <f t="shared" si="17"/>
        <v>0</v>
      </c>
      <c r="H62" s="146">
        <f t="shared" si="17"/>
        <v>0</v>
      </c>
      <c r="I62" s="146">
        <f t="shared" si="17"/>
        <v>0</v>
      </c>
      <c r="J62" s="146">
        <f t="shared" si="17"/>
        <v>0</v>
      </c>
      <c r="K62" s="146">
        <f t="shared" si="17"/>
        <v>0</v>
      </c>
      <c r="L62" s="146">
        <f t="shared" si="17"/>
        <v>0</v>
      </c>
      <c r="M62" s="146">
        <f t="shared" si="17"/>
        <v>0</v>
      </c>
      <c r="N62" s="146">
        <f t="shared" si="17"/>
        <v>0</v>
      </c>
      <c r="O62" s="146">
        <f t="shared" si="17"/>
        <v>0</v>
      </c>
      <c r="P62" s="146">
        <f t="shared" si="17"/>
        <v>0</v>
      </c>
      <c r="Q62" s="146">
        <f t="shared" si="17"/>
        <v>0</v>
      </c>
      <c r="R62" s="342">
        <f t="shared" si="17"/>
        <v>15000</v>
      </c>
      <c r="S62" s="148"/>
      <c r="T62" s="148"/>
      <c r="U62" s="143"/>
    </row>
    <row r="63" spans="1:21" s="144" customFormat="1">
      <c r="A63" s="154" t="s">
        <v>302</v>
      </c>
      <c r="B63" s="146">
        <f t="shared" ref="B63:R63" si="18">SUM(B8+B11+B13+B14+B15+B26+B27+B38+B42+B43+B54+B62)</f>
        <v>26024704</v>
      </c>
      <c r="C63" s="146">
        <f t="shared" si="18"/>
        <v>26024704</v>
      </c>
      <c r="D63" s="146">
        <f t="shared" si="18"/>
        <v>0</v>
      </c>
      <c r="E63" s="146">
        <f t="shared" si="18"/>
        <v>15747828</v>
      </c>
      <c r="F63" s="146">
        <f t="shared" si="18"/>
        <v>7703530</v>
      </c>
      <c r="G63" s="146">
        <f t="shared" si="18"/>
        <v>1573346</v>
      </c>
      <c r="H63" s="146">
        <f t="shared" si="18"/>
        <v>1000000</v>
      </c>
      <c r="I63" s="146">
        <f t="shared" si="18"/>
        <v>0</v>
      </c>
      <c r="J63" s="146">
        <f t="shared" si="18"/>
        <v>0</v>
      </c>
      <c r="K63" s="146">
        <f t="shared" si="18"/>
        <v>0</v>
      </c>
      <c r="L63" s="146">
        <f t="shared" si="18"/>
        <v>0</v>
      </c>
      <c r="M63" s="146">
        <f t="shared" si="18"/>
        <v>0</v>
      </c>
      <c r="N63" s="146">
        <f t="shared" si="18"/>
        <v>0</v>
      </c>
      <c r="O63" s="146">
        <f t="shared" si="18"/>
        <v>0</v>
      </c>
      <c r="P63" s="146">
        <f t="shared" si="18"/>
        <v>0</v>
      </c>
      <c r="Q63" s="146">
        <f t="shared" si="18"/>
        <v>0</v>
      </c>
      <c r="R63" s="342">
        <f t="shared" si="18"/>
        <v>26024704</v>
      </c>
      <c r="S63" s="146">
        <f>SUM(S10+S13+S14+S15+S26+S27+S38+S42+S43+S54)</f>
        <v>23160479</v>
      </c>
      <c r="T63" s="146">
        <f>SUM(T11+T13+T14+T15+T26+T27+T38+T42+T43+T54)</f>
        <v>0</v>
      </c>
      <c r="U63" s="143"/>
    </row>
    <row r="64" spans="1:21" s="144" customFormat="1" ht="24">
      <c r="A64" s="141" t="s">
        <v>1633</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65000</v>
      </c>
      <c r="C65" s="147">
        <v>65000</v>
      </c>
      <c r="D65" s="147"/>
      <c r="E65" s="147">
        <v>65000</v>
      </c>
      <c r="F65" s="147"/>
      <c r="G65" s="147"/>
      <c r="H65" s="147"/>
      <c r="I65" s="147"/>
      <c r="J65" s="147"/>
      <c r="K65" s="147"/>
      <c r="L65" s="147"/>
      <c r="M65" s="147"/>
      <c r="N65" s="147"/>
      <c r="O65" s="147"/>
      <c r="P65" s="147"/>
      <c r="Q65" s="147"/>
      <c r="R65" s="516">
        <f>SUM(E65:Q65)</f>
        <v>65000</v>
      </c>
      <c r="S65" s="147">
        <f>R65</f>
        <v>65000</v>
      </c>
      <c r="T65" s="147"/>
      <c r="U65" s="143"/>
    </row>
    <row r="66" spans="1:21" s="144" customFormat="1" ht="24" customHeight="1">
      <c r="A66" s="283" t="s">
        <v>1630</v>
      </c>
      <c r="B66" s="146">
        <f>SUM(C66+D66)</f>
        <v>0</v>
      </c>
      <c r="C66" s="147"/>
      <c r="D66" s="147"/>
      <c r="E66" s="147"/>
      <c r="F66" s="147"/>
      <c r="G66" s="147"/>
      <c r="H66" s="147"/>
      <c r="I66" s="147"/>
      <c r="J66" s="147"/>
      <c r="K66" s="147"/>
      <c r="L66" s="147"/>
      <c r="M66" s="147"/>
      <c r="N66" s="147"/>
      <c r="O66" s="147"/>
      <c r="P66" s="147"/>
      <c r="Q66" s="147"/>
      <c r="R66" s="516">
        <f>SUM(E66:Q66)</f>
        <v>0</v>
      </c>
      <c r="S66" s="147">
        <f t="shared" ref="S66:S69" si="19">R66</f>
        <v>0</v>
      </c>
      <c r="T66" s="147"/>
      <c r="U66" s="143"/>
    </row>
    <row r="67" spans="1:21" s="144" customFormat="1" ht="24" customHeight="1">
      <c r="A67" s="283" t="s">
        <v>1631</v>
      </c>
      <c r="B67" s="146">
        <f>SUM(C67+D67)</f>
        <v>0</v>
      </c>
      <c r="C67" s="147"/>
      <c r="D67" s="147"/>
      <c r="E67" s="147"/>
      <c r="F67" s="147"/>
      <c r="G67" s="147"/>
      <c r="H67" s="147"/>
      <c r="I67" s="147"/>
      <c r="J67" s="147"/>
      <c r="K67" s="147"/>
      <c r="L67" s="147"/>
      <c r="M67" s="147"/>
      <c r="N67" s="147"/>
      <c r="O67" s="147"/>
      <c r="P67" s="147"/>
      <c r="Q67" s="147"/>
      <c r="R67" s="516">
        <f>SUM(E67:Q67)</f>
        <v>0</v>
      </c>
      <c r="S67" s="147">
        <f t="shared" si="19"/>
        <v>0</v>
      </c>
      <c r="T67" s="147"/>
      <c r="U67" s="143"/>
    </row>
    <row r="68" spans="1:21" s="144" customFormat="1" ht="12" customHeight="1">
      <c r="A68" s="283" t="s">
        <v>1637</v>
      </c>
      <c r="B68" s="146">
        <f>SUM(C68+D68)</f>
        <v>0</v>
      </c>
      <c r="C68" s="147"/>
      <c r="D68" s="147"/>
      <c r="E68" s="147"/>
      <c r="F68" s="147"/>
      <c r="G68" s="147"/>
      <c r="H68" s="147"/>
      <c r="I68" s="147"/>
      <c r="J68" s="147"/>
      <c r="K68" s="147"/>
      <c r="L68" s="147"/>
      <c r="M68" s="147"/>
      <c r="N68" s="147"/>
      <c r="O68" s="147"/>
      <c r="P68" s="147"/>
      <c r="Q68" s="147"/>
      <c r="R68" s="516">
        <f>SUM(E68:Q68)</f>
        <v>0</v>
      </c>
      <c r="S68" s="147">
        <f t="shared" si="19"/>
        <v>0</v>
      </c>
      <c r="T68" s="147"/>
      <c r="U68" s="143"/>
    </row>
    <row r="69" spans="1:21" s="144" customFormat="1">
      <c r="A69" s="1143" t="s">
        <v>2751</v>
      </c>
      <c r="B69" s="146">
        <f>SUM(C69+D69)</f>
        <v>50000</v>
      </c>
      <c r="C69" s="147">
        <v>50000</v>
      </c>
      <c r="D69" s="147"/>
      <c r="E69" s="147">
        <v>50000</v>
      </c>
      <c r="F69" s="147"/>
      <c r="G69" s="147"/>
      <c r="H69" s="147"/>
      <c r="I69" s="147"/>
      <c r="J69" s="147"/>
      <c r="K69" s="147"/>
      <c r="L69" s="147"/>
      <c r="M69" s="147"/>
      <c r="N69" s="147"/>
      <c r="O69" s="147"/>
      <c r="P69" s="147"/>
      <c r="Q69" s="147"/>
      <c r="R69" s="516">
        <f>SUM(E69:Q69)</f>
        <v>50000</v>
      </c>
      <c r="S69" s="147">
        <f t="shared" si="19"/>
        <v>50000</v>
      </c>
      <c r="T69" s="147"/>
      <c r="U69" s="143"/>
    </row>
    <row r="70" spans="1:21" s="144" customFormat="1">
      <c r="A70" s="149" t="s">
        <v>1634</v>
      </c>
      <c r="B70" s="146">
        <f>SUM(C70:D70)</f>
        <v>115000</v>
      </c>
      <c r="C70" s="146">
        <f>SUM(C65:C69)</f>
        <v>115000</v>
      </c>
      <c r="D70" s="146">
        <f>SUM(D65:D69)</f>
        <v>0</v>
      </c>
      <c r="E70" s="146">
        <f t="shared" ref="E70:T70" si="20">SUM(E65:E69)</f>
        <v>115000</v>
      </c>
      <c r="F70" s="146">
        <f t="shared" si="20"/>
        <v>0</v>
      </c>
      <c r="G70" s="146">
        <f t="shared" si="20"/>
        <v>0</v>
      </c>
      <c r="H70" s="146">
        <f t="shared" si="20"/>
        <v>0</v>
      </c>
      <c r="I70" s="146">
        <f t="shared" si="20"/>
        <v>0</v>
      </c>
      <c r="J70" s="146">
        <f t="shared" si="20"/>
        <v>0</v>
      </c>
      <c r="K70" s="146">
        <f t="shared" si="20"/>
        <v>0</v>
      </c>
      <c r="L70" s="146">
        <f t="shared" si="20"/>
        <v>0</v>
      </c>
      <c r="M70" s="146">
        <f t="shared" si="20"/>
        <v>0</v>
      </c>
      <c r="N70" s="146">
        <f t="shared" si="20"/>
        <v>0</v>
      </c>
      <c r="O70" s="146">
        <f t="shared" si="20"/>
        <v>0</v>
      </c>
      <c r="P70" s="146">
        <f t="shared" si="20"/>
        <v>0</v>
      </c>
      <c r="Q70" s="146">
        <f t="shared" si="20"/>
        <v>0</v>
      </c>
      <c r="R70" s="342">
        <f t="shared" si="20"/>
        <v>115000</v>
      </c>
      <c r="S70" s="150">
        <f t="shared" si="20"/>
        <v>115000</v>
      </c>
      <c r="T70" s="150">
        <f t="shared" si="20"/>
        <v>0</v>
      </c>
      <c r="U70" s="143"/>
    </row>
    <row r="71" spans="1:21" s="144" customFormat="1">
      <c r="A71" s="141" t="s">
        <v>602</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603</v>
      </c>
      <c r="B72" s="146">
        <f>SUM(C72+D72)</f>
        <v>30000</v>
      </c>
      <c r="C72" s="147">
        <v>30000</v>
      </c>
      <c r="D72" s="147"/>
      <c r="E72" s="147">
        <v>30000</v>
      </c>
      <c r="F72" s="147"/>
      <c r="G72" s="147"/>
      <c r="H72" s="147"/>
      <c r="I72" s="147"/>
      <c r="J72" s="147"/>
      <c r="K72" s="147"/>
      <c r="L72" s="147"/>
      <c r="M72" s="147"/>
      <c r="N72" s="147"/>
      <c r="O72" s="147"/>
      <c r="P72" s="147"/>
      <c r="Q72" s="147"/>
      <c r="R72" s="516">
        <f>SUM(E72:Q72)</f>
        <v>30000</v>
      </c>
      <c r="S72" s="148"/>
      <c r="T72" s="148"/>
      <c r="U72" s="143"/>
    </row>
    <row r="73" spans="1:21" s="144" customFormat="1">
      <c r="A73" s="145" t="s">
        <v>604</v>
      </c>
      <c r="B73" s="146">
        <f>SUM(C73+D73)</f>
        <v>0</v>
      </c>
      <c r="C73" s="147"/>
      <c r="D73" s="147"/>
      <c r="E73" s="147"/>
      <c r="F73" s="147"/>
      <c r="G73" s="147"/>
      <c r="H73" s="147"/>
      <c r="I73" s="147"/>
      <c r="J73" s="147"/>
      <c r="K73" s="147"/>
      <c r="L73" s="147"/>
      <c r="M73" s="147"/>
      <c r="N73" s="147"/>
      <c r="O73" s="147"/>
      <c r="P73" s="147"/>
      <c r="Q73" s="147"/>
      <c r="R73" s="516">
        <f>SUM(E73:Q73)</f>
        <v>0</v>
      </c>
      <c r="S73" s="148"/>
      <c r="T73" s="148"/>
      <c r="U73" s="143"/>
    </row>
    <row r="74" spans="1:21" s="144" customFormat="1">
      <c r="A74" s="450" t="s">
        <v>986</v>
      </c>
      <c r="B74" s="146">
        <f>SUM(C74+D74)</f>
        <v>0</v>
      </c>
      <c r="C74" s="147"/>
      <c r="D74" s="147"/>
      <c r="E74" s="147"/>
      <c r="F74" s="147"/>
      <c r="G74" s="147"/>
      <c r="H74" s="147"/>
      <c r="I74" s="147"/>
      <c r="J74" s="147"/>
      <c r="K74" s="147"/>
      <c r="L74" s="147"/>
      <c r="M74" s="147"/>
      <c r="N74" s="147"/>
      <c r="O74" s="147"/>
      <c r="P74" s="147"/>
      <c r="Q74" s="147"/>
      <c r="R74" s="516">
        <f>SUM(E74:Q74)</f>
        <v>0</v>
      </c>
      <c r="S74" s="148"/>
      <c r="T74" s="148"/>
      <c r="U74" s="143"/>
    </row>
    <row r="75" spans="1:21" s="144" customFormat="1">
      <c r="A75" s="145" t="s">
        <v>605</v>
      </c>
      <c r="B75" s="146">
        <f>SUM(C75+D75)</f>
        <v>222868</v>
      </c>
      <c r="C75" s="147">
        <v>222868</v>
      </c>
      <c r="D75" s="147"/>
      <c r="E75" s="147">
        <v>222868</v>
      </c>
      <c r="F75" s="147"/>
      <c r="G75" s="147"/>
      <c r="H75" s="147"/>
      <c r="I75" s="147"/>
      <c r="J75" s="147"/>
      <c r="K75" s="147"/>
      <c r="L75" s="147"/>
      <c r="M75" s="147"/>
      <c r="N75" s="147"/>
      <c r="O75" s="147"/>
      <c r="P75" s="147"/>
      <c r="Q75" s="147"/>
      <c r="R75" s="516">
        <f>SUM(E75:Q75)</f>
        <v>222868</v>
      </c>
      <c r="S75" s="148"/>
      <c r="T75" s="148"/>
      <c r="U75" s="143"/>
    </row>
    <row r="76" spans="1:21" s="144" customFormat="1">
      <c r="A76" s="1143" t="s">
        <v>34</v>
      </c>
      <c r="B76" s="146">
        <f>SUM(C76+D76)</f>
        <v>0</v>
      </c>
      <c r="C76" s="147"/>
      <c r="D76" s="147"/>
      <c r="E76" s="147"/>
      <c r="F76" s="147"/>
      <c r="G76" s="147"/>
      <c r="H76" s="147"/>
      <c r="I76" s="147"/>
      <c r="J76" s="147"/>
      <c r="K76" s="147"/>
      <c r="L76" s="147"/>
      <c r="M76" s="147"/>
      <c r="N76" s="147"/>
      <c r="O76" s="147"/>
      <c r="P76" s="147"/>
      <c r="Q76" s="147"/>
      <c r="R76" s="516">
        <f>SUM(E76:Q76)</f>
        <v>0</v>
      </c>
      <c r="S76" s="148"/>
      <c r="T76" s="148"/>
      <c r="U76" s="143"/>
    </row>
    <row r="77" spans="1:21" s="144" customFormat="1">
      <c r="A77" s="149" t="s">
        <v>606</v>
      </c>
      <c r="B77" s="146">
        <f>SUM(C77:D77)</f>
        <v>252868</v>
      </c>
      <c r="C77" s="146">
        <f>SUM(C72:C76)</f>
        <v>252868</v>
      </c>
      <c r="D77" s="146">
        <f>SUM(D72:D76)</f>
        <v>0</v>
      </c>
      <c r="E77" s="146">
        <f t="shared" ref="E77:Q77" si="21">SUM(E72:E76)</f>
        <v>252868</v>
      </c>
      <c r="F77" s="146">
        <f t="shared" si="21"/>
        <v>0</v>
      </c>
      <c r="G77" s="146">
        <f t="shared" si="21"/>
        <v>0</v>
      </c>
      <c r="H77" s="146">
        <f t="shared" si="21"/>
        <v>0</v>
      </c>
      <c r="I77" s="146">
        <f t="shared" si="21"/>
        <v>0</v>
      </c>
      <c r="J77" s="146">
        <f t="shared" si="21"/>
        <v>0</v>
      </c>
      <c r="K77" s="146">
        <f t="shared" si="21"/>
        <v>0</v>
      </c>
      <c r="L77" s="146">
        <f t="shared" si="21"/>
        <v>0</v>
      </c>
      <c r="M77" s="146">
        <f t="shared" si="21"/>
        <v>0</v>
      </c>
      <c r="N77" s="146">
        <f t="shared" si="21"/>
        <v>0</v>
      </c>
      <c r="O77" s="146">
        <f t="shared" si="21"/>
        <v>0</v>
      </c>
      <c r="P77" s="146">
        <f t="shared" si="21"/>
        <v>0</v>
      </c>
      <c r="Q77" s="146">
        <f t="shared" si="21"/>
        <v>0</v>
      </c>
      <c r="R77" s="342">
        <f>SUM(R72:R76)</f>
        <v>252868</v>
      </c>
      <c r="S77" s="148"/>
      <c r="T77" s="148"/>
      <c r="U77" s="143"/>
    </row>
    <row r="78" spans="1:21" s="144" customFormat="1">
      <c r="A78" s="141" t="s">
        <v>1210</v>
      </c>
      <c r="B78" s="151"/>
      <c r="C78" s="151"/>
      <c r="D78" s="151"/>
      <c r="E78" s="151"/>
      <c r="F78" s="151"/>
      <c r="G78" s="151"/>
      <c r="H78" s="151"/>
      <c r="I78" s="151"/>
      <c r="J78" s="151"/>
      <c r="K78" s="151"/>
      <c r="L78" s="151"/>
      <c r="M78" s="151"/>
      <c r="N78" s="151"/>
      <c r="O78" s="151"/>
      <c r="P78" s="151"/>
      <c r="Q78" s="151"/>
      <c r="R78" s="343"/>
      <c r="S78" s="151"/>
      <c r="T78" s="151"/>
      <c r="U78" s="143"/>
    </row>
    <row r="79" spans="1:21" s="144" customFormat="1">
      <c r="A79" s="283" t="s">
        <v>1212</v>
      </c>
      <c r="B79" s="146">
        <f>SUM(C79:D79)</f>
        <v>1035608</v>
      </c>
      <c r="C79" s="147">
        <v>1035608</v>
      </c>
      <c r="D79" s="147"/>
      <c r="E79" s="147">
        <v>1035608</v>
      </c>
      <c r="F79" s="147"/>
      <c r="G79" s="147"/>
      <c r="H79" s="147"/>
      <c r="I79" s="147"/>
      <c r="J79" s="147"/>
      <c r="K79" s="147"/>
      <c r="L79" s="147"/>
      <c r="M79" s="147"/>
      <c r="N79" s="147"/>
      <c r="O79" s="147"/>
      <c r="P79" s="147"/>
      <c r="Q79" s="147"/>
      <c r="R79" s="516">
        <f>SUM(E79:Q79)</f>
        <v>1035608</v>
      </c>
      <c r="S79" s="147">
        <f>R79</f>
        <v>1035608</v>
      </c>
      <c r="T79" s="147"/>
      <c r="U79" s="143"/>
    </row>
    <row r="80" spans="1:21" s="144" customFormat="1">
      <c r="A80" s="283" t="s">
        <v>58</v>
      </c>
      <c r="B80" s="146">
        <f>SUM(C80:D80)</f>
        <v>217447</v>
      </c>
      <c r="C80" s="147">
        <v>217447</v>
      </c>
      <c r="D80" s="147"/>
      <c r="E80" s="147">
        <v>217447</v>
      </c>
      <c r="F80" s="147"/>
      <c r="G80" s="147"/>
      <c r="H80" s="147"/>
      <c r="I80" s="147"/>
      <c r="J80" s="147"/>
      <c r="K80" s="147"/>
      <c r="L80" s="147"/>
      <c r="M80" s="147"/>
      <c r="N80" s="147"/>
      <c r="O80" s="147"/>
      <c r="P80" s="147"/>
      <c r="Q80" s="147"/>
      <c r="R80" s="516">
        <f>SUM(E80:Q80)</f>
        <v>217447</v>
      </c>
      <c r="S80" s="147">
        <f>R80</f>
        <v>217447</v>
      </c>
      <c r="T80" s="147"/>
      <c r="U80" s="143"/>
    </row>
    <row r="81" spans="1:21" s="144" customFormat="1">
      <c r="A81" s="149" t="s">
        <v>1209</v>
      </c>
      <c r="B81" s="146">
        <f>SUM(C81:D81)</f>
        <v>1253055</v>
      </c>
      <c r="C81" s="509">
        <f>SUM(C79:C80)</f>
        <v>1253055</v>
      </c>
      <c r="D81" s="509">
        <f t="shared" ref="D81:T81" si="22">SUM(D79:D80)</f>
        <v>0</v>
      </c>
      <c r="E81" s="509">
        <f t="shared" si="22"/>
        <v>1253055</v>
      </c>
      <c r="F81" s="509">
        <f t="shared" si="22"/>
        <v>0</v>
      </c>
      <c r="G81" s="509">
        <f t="shared" si="22"/>
        <v>0</v>
      </c>
      <c r="H81" s="509">
        <f t="shared" si="22"/>
        <v>0</v>
      </c>
      <c r="I81" s="509">
        <f t="shared" si="22"/>
        <v>0</v>
      </c>
      <c r="J81" s="509">
        <f t="shared" si="22"/>
        <v>0</v>
      </c>
      <c r="K81" s="509">
        <f t="shared" si="22"/>
        <v>0</v>
      </c>
      <c r="L81" s="509">
        <f t="shared" si="22"/>
        <v>0</v>
      </c>
      <c r="M81" s="509">
        <f t="shared" si="22"/>
        <v>0</v>
      </c>
      <c r="N81" s="509">
        <f t="shared" si="22"/>
        <v>0</v>
      </c>
      <c r="O81" s="509">
        <f t="shared" si="22"/>
        <v>0</v>
      </c>
      <c r="P81" s="509">
        <f t="shared" si="22"/>
        <v>0</v>
      </c>
      <c r="Q81" s="509">
        <f t="shared" si="22"/>
        <v>0</v>
      </c>
      <c r="R81" s="509">
        <f t="shared" si="22"/>
        <v>1253055</v>
      </c>
      <c r="S81" s="509">
        <f t="shared" si="22"/>
        <v>1253055</v>
      </c>
      <c r="T81" s="509">
        <f t="shared" si="22"/>
        <v>0</v>
      </c>
      <c r="U81" s="143"/>
    </row>
    <row r="82" spans="1:21" s="144" customFormat="1">
      <c r="A82" s="141" t="s">
        <v>765</v>
      </c>
      <c r="B82" s="151"/>
      <c r="C82" s="151"/>
      <c r="D82" s="151"/>
      <c r="E82" s="151"/>
      <c r="F82" s="151"/>
      <c r="G82" s="151"/>
      <c r="H82" s="151"/>
      <c r="I82" s="151"/>
      <c r="J82" s="151"/>
      <c r="K82" s="151"/>
      <c r="L82" s="151"/>
      <c r="M82" s="151"/>
      <c r="N82" s="151"/>
      <c r="O82" s="151"/>
      <c r="P82" s="151"/>
      <c r="Q82" s="151"/>
      <c r="R82" s="343"/>
      <c r="S82" s="151"/>
      <c r="T82" s="151"/>
      <c r="U82" s="143"/>
    </row>
    <row r="83" spans="1:21" s="144" customFormat="1" ht="13.7" customHeight="1">
      <c r="A83" s="145" t="s">
        <v>2049</v>
      </c>
      <c r="B83" s="146">
        <f t="shared" ref="B83:B95" si="23">SUM(C83+D83)</f>
        <v>108180</v>
      </c>
      <c r="C83" s="147">
        <v>108180</v>
      </c>
      <c r="D83" s="147"/>
      <c r="E83" s="147">
        <v>108180</v>
      </c>
      <c r="F83" s="147"/>
      <c r="G83" s="147"/>
      <c r="H83" s="147"/>
      <c r="I83" s="147"/>
      <c r="J83" s="147"/>
      <c r="K83" s="147"/>
      <c r="L83" s="147"/>
      <c r="M83" s="147"/>
      <c r="N83" s="147"/>
      <c r="O83" s="147"/>
      <c r="P83" s="147"/>
      <c r="Q83" s="147"/>
      <c r="R83" s="516">
        <f t="shared" ref="R83:R95" si="24">SUM(E83:Q83)</f>
        <v>108180</v>
      </c>
      <c r="S83" s="148"/>
      <c r="T83" s="148"/>
      <c r="U83" s="143"/>
    </row>
    <row r="84" spans="1:21" s="144" customFormat="1">
      <c r="A84" s="145" t="s">
        <v>767</v>
      </c>
      <c r="B84" s="146">
        <f t="shared" si="23"/>
        <v>7000</v>
      </c>
      <c r="C84" s="147">
        <v>7000</v>
      </c>
      <c r="D84" s="147"/>
      <c r="E84" s="147">
        <v>7000</v>
      </c>
      <c r="F84" s="147"/>
      <c r="G84" s="147"/>
      <c r="H84" s="147"/>
      <c r="I84" s="147"/>
      <c r="J84" s="147"/>
      <c r="K84" s="147"/>
      <c r="L84" s="147"/>
      <c r="M84" s="147"/>
      <c r="N84" s="147"/>
      <c r="O84" s="147"/>
      <c r="P84" s="147"/>
      <c r="Q84" s="147"/>
      <c r="R84" s="516">
        <f t="shared" si="24"/>
        <v>7000</v>
      </c>
      <c r="S84" s="147">
        <f>R84</f>
        <v>7000</v>
      </c>
      <c r="T84" s="147"/>
      <c r="U84" s="143"/>
    </row>
    <row r="85" spans="1:21" s="144" customFormat="1">
      <c r="A85" s="145" t="s">
        <v>768</v>
      </c>
      <c r="B85" s="146">
        <f t="shared" si="23"/>
        <v>2460257</v>
      </c>
      <c r="C85" s="147">
        <v>2460257</v>
      </c>
      <c r="D85" s="147"/>
      <c r="E85" s="147">
        <v>2460257</v>
      </c>
      <c r="F85" s="147"/>
      <c r="G85" s="147"/>
      <c r="H85" s="147"/>
      <c r="I85" s="147"/>
      <c r="J85" s="147"/>
      <c r="K85" s="147"/>
      <c r="L85" s="147"/>
      <c r="M85" s="147"/>
      <c r="N85" s="147"/>
      <c r="O85" s="147"/>
      <c r="P85" s="147"/>
      <c r="Q85" s="147"/>
      <c r="R85" s="516">
        <f t="shared" si="24"/>
        <v>2460257</v>
      </c>
      <c r="S85" s="147">
        <f t="shared" ref="S85:S87" si="25">R85</f>
        <v>2460257</v>
      </c>
      <c r="T85" s="147"/>
      <c r="U85" s="143"/>
    </row>
    <row r="86" spans="1:21" s="144" customFormat="1">
      <c r="A86" s="145" t="s">
        <v>769</v>
      </c>
      <c r="B86" s="146">
        <f t="shared" si="23"/>
        <v>90036</v>
      </c>
      <c r="C86" s="147">
        <v>90036</v>
      </c>
      <c r="D86" s="147"/>
      <c r="E86" s="147">
        <v>90036</v>
      </c>
      <c r="F86" s="147"/>
      <c r="G86" s="147"/>
      <c r="H86" s="147"/>
      <c r="I86" s="147"/>
      <c r="J86" s="147"/>
      <c r="K86" s="147"/>
      <c r="L86" s="147"/>
      <c r="M86" s="147"/>
      <c r="N86" s="147"/>
      <c r="O86" s="147"/>
      <c r="P86" s="147"/>
      <c r="Q86" s="147"/>
      <c r="R86" s="516">
        <f t="shared" si="24"/>
        <v>90036</v>
      </c>
      <c r="S86" s="147">
        <f t="shared" si="25"/>
        <v>90036</v>
      </c>
      <c r="T86" s="147"/>
      <c r="U86" s="143"/>
    </row>
    <row r="87" spans="1:21" s="144" customFormat="1">
      <c r="A87" s="145" t="s">
        <v>770</v>
      </c>
      <c r="B87" s="146">
        <f t="shared" si="23"/>
        <v>0</v>
      </c>
      <c r="C87" s="147"/>
      <c r="D87" s="147"/>
      <c r="E87" s="147"/>
      <c r="F87" s="147"/>
      <c r="G87" s="147"/>
      <c r="H87" s="147"/>
      <c r="I87" s="147"/>
      <c r="J87" s="147"/>
      <c r="K87" s="147"/>
      <c r="L87" s="147"/>
      <c r="M87" s="147"/>
      <c r="N87" s="147"/>
      <c r="O87" s="147"/>
      <c r="P87" s="147"/>
      <c r="Q87" s="147"/>
      <c r="R87" s="516">
        <f t="shared" si="24"/>
        <v>0</v>
      </c>
      <c r="S87" s="147">
        <f t="shared" si="25"/>
        <v>0</v>
      </c>
      <c r="T87" s="147"/>
      <c r="U87" s="143"/>
    </row>
    <row r="88" spans="1:21" s="144" customFormat="1">
      <c r="A88" s="145" t="s">
        <v>771</v>
      </c>
      <c r="B88" s="146">
        <f t="shared" si="23"/>
        <v>30435</v>
      </c>
      <c r="C88" s="147">
        <v>30435</v>
      </c>
      <c r="D88" s="147"/>
      <c r="E88" s="147">
        <v>30435</v>
      </c>
      <c r="F88" s="147"/>
      <c r="G88" s="147"/>
      <c r="H88" s="147"/>
      <c r="I88" s="147"/>
      <c r="J88" s="147"/>
      <c r="K88" s="147"/>
      <c r="L88" s="147"/>
      <c r="M88" s="147"/>
      <c r="N88" s="147"/>
      <c r="O88" s="147"/>
      <c r="P88" s="147"/>
      <c r="Q88" s="147"/>
      <c r="R88" s="516">
        <f t="shared" si="24"/>
        <v>30435</v>
      </c>
      <c r="S88" s="148"/>
      <c r="T88" s="148"/>
      <c r="U88" s="143"/>
    </row>
    <row r="89" spans="1:21" s="144" customFormat="1">
      <c r="A89" s="145" t="s">
        <v>772</v>
      </c>
      <c r="B89" s="146">
        <f t="shared" si="23"/>
        <v>40000</v>
      </c>
      <c r="C89" s="147">
        <v>40000</v>
      </c>
      <c r="D89" s="147"/>
      <c r="E89" s="147">
        <v>40000</v>
      </c>
      <c r="F89" s="147"/>
      <c r="G89" s="147"/>
      <c r="H89" s="147"/>
      <c r="I89" s="147"/>
      <c r="J89" s="147"/>
      <c r="K89" s="147"/>
      <c r="L89" s="147"/>
      <c r="M89" s="147"/>
      <c r="N89" s="147"/>
      <c r="O89" s="147"/>
      <c r="P89" s="147"/>
      <c r="Q89" s="147"/>
      <c r="R89" s="516">
        <f t="shared" si="24"/>
        <v>40000</v>
      </c>
      <c r="S89" s="147">
        <f>R89</f>
        <v>40000</v>
      </c>
      <c r="T89" s="147"/>
      <c r="U89" s="143"/>
    </row>
    <row r="90" spans="1:21" s="144" customFormat="1">
      <c r="A90" s="145" t="s">
        <v>773</v>
      </c>
      <c r="B90" s="146">
        <f t="shared" si="23"/>
        <v>10000</v>
      </c>
      <c r="C90" s="147">
        <v>10000</v>
      </c>
      <c r="D90" s="147"/>
      <c r="E90" s="147">
        <v>10000</v>
      </c>
      <c r="F90" s="147"/>
      <c r="G90" s="147"/>
      <c r="H90" s="147"/>
      <c r="I90" s="147"/>
      <c r="J90" s="147"/>
      <c r="K90" s="147"/>
      <c r="L90" s="147"/>
      <c r="M90" s="147"/>
      <c r="N90" s="147"/>
      <c r="O90" s="147"/>
      <c r="P90" s="147"/>
      <c r="Q90" s="147"/>
      <c r="R90" s="516">
        <f t="shared" si="24"/>
        <v>10000</v>
      </c>
      <c r="S90" s="147">
        <f t="shared" ref="S90:S95" si="26">R90</f>
        <v>10000</v>
      </c>
      <c r="T90" s="147"/>
      <c r="U90" s="143"/>
    </row>
    <row r="91" spans="1:21" s="144" customFormat="1">
      <c r="A91" s="145" t="s">
        <v>372</v>
      </c>
      <c r="B91" s="146">
        <f t="shared" si="23"/>
        <v>45000</v>
      </c>
      <c r="C91" s="147">
        <v>45000</v>
      </c>
      <c r="D91" s="147"/>
      <c r="E91" s="147">
        <v>45000</v>
      </c>
      <c r="F91" s="147"/>
      <c r="G91" s="147"/>
      <c r="H91" s="147"/>
      <c r="I91" s="147"/>
      <c r="J91" s="147"/>
      <c r="K91" s="147"/>
      <c r="L91" s="147"/>
      <c r="M91" s="147"/>
      <c r="N91" s="147"/>
      <c r="O91" s="147"/>
      <c r="P91" s="147"/>
      <c r="Q91" s="147"/>
      <c r="R91" s="516">
        <f t="shared" si="24"/>
        <v>45000</v>
      </c>
      <c r="S91" s="147">
        <f t="shared" si="26"/>
        <v>45000</v>
      </c>
      <c r="T91" s="147"/>
      <c r="U91" s="143"/>
    </row>
    <row r="92" spans="1:21" s="144" customFormat="1">
      <c r="A92" s="283" t="s">
        <v>1211</v>
      </c>
      <c r="B92" s="146">
        <f t="shared" si="23"/>
        <v>7500</v>
      </c>
      <c r="C92" s="147">
        <v>7500</v>
      </c>
      <c r="D92" s="147"/>
      <c r="E92" s="147">
        <v>7500</v>
      </c>
      <c r="F92" s="147"/>
      <c r="G92" s="147"/>
      <c r="H92" s="147"/>
      <c r="I92" s="147"/>
      <c r="J92" s="147"/>
      <c r="K92" s="147"/>
      <c r="L92" s="147"/>
      <c r="M92" s="147"/>
      <c r="N92" s="147"/>
      <c r="O92" s="147"/>
      <c r="P92" s="147"/>
      <c r="Q92" s="147"/>
      <c r="R92" s="516">
        <f t="shared" si="24"/>
        <v>7500</v>
      </c>
      <c r="S92" s="147">
        <f t="shared" si="26"/>
        <v>7500</v>
      </c>
      <c r="T92" s="147"/>
      <c r="U92" s="143"/>
    </row>
    <row r="93" spans="1:21" s="144" customFormat="1">
      <c r="A93" s="1143" t="s">
        <v>34</v>
      </c>
      <c r="B93" s="146">
        <f t="shared" si="23"/>
        <v>0</v>
      </c>
      <c r="C93" s="147"/>
      <c r="D93" s="147"/>
      <c r="E93" s="147"/>
      <c r="F93" s="147"/>
      <c r="G93" s="147"/>
      <c r="H93" s="147"/>
      <c r="I93" s="147"/>
      <c r="J93" s="147"/>
      <c r="K93" s="147"/>
      <c r="L93" s="147"/>
      <c r="M93" s="147"/>
      <c r="N93" s="147"/>
      <c r="O93" s="147"/>
      <c r="P93" s="147"/>
      <c r="Q93" s="147"/>
      <c r="R93" s="516">
        <f t="shared" si="24"/>
        <v>0</v>
      </c>
      <c r="S93" s="147">
        <f t="shared" si="26"/>
        <v>0</v>
      </c>
      <c r="T93" s="147"/>
      <c r="U93" s="143"/>
    </row>
    <row r="94" spans="1:21" s="144" customFormat="1">
      <c r="A94" s="1143" t="s">
        <v>34</v>
      </c>
      <c r="B94" s="146">
        <f t="shared" si="23"/>
        <v>0</v>
      </c>
      <c r="C94" s="147"/>
      <c r="D94" s="147"/>
      <c r="E94" s="147"/>
      <c r="F94" s="147"/>
      <c r="G94" s="147"/>
      <c r="H94" s="147"/>
      <c r="I94" s="147"/>
      <c r="J94" s="147"/>
      <c r="K94" s="147"/>
      <c r="L94" s="147"/>
      <c r="M94" s="147"/>
      <c r="N94" s="147"/>
      <c r="O94" s="147"/>
      <c r="P94" s="147"/>
      <c r="Q94" s="147"/>
      <c r="R94" s="516">
        <f t="shared" si="24"/>
        <v>0</v>
      </c>
      <c r="S94" s="147">
        <f t="shared" si="26"/>
        <v>0</v>
      </c>
      <c r="T94" s="147"/>
      <c r="U94" s="143"/>
    </row>
    <row r="95" spans="1:21" s="144" customFormat="1">
      <c r="A95" s="1143" t="s">
        <v>34</v>
      </c>
      <c r="B95" s="146">
        <f t="shared" si="23"/>
        <v>0</v>
      </c>
      <c r="C95" s="147"/>
      <c r="D95" s="147"/>
      <c r="E95" s="147"/>
      <c r="F95" s="147"/>
      <c r="G95" s="147"/>
      <c r="H95" s="147"/>
      <c r="I95" s="147"/>
      <c r="J95" s="147"/>
      <c r="K95" s="147"/>
      <c r="L95" s="147"/>
      <c r="M95" s="147"/>
      <c r="N95" s="147"/>
      <c r="O95" s="147"/>
      <c r="P95" s="147"/>
      <c r="Q95" s="147"/>
      <c r="R95" s="516">
        <f t="shared" si="24"/>
        <v>0</v>
      </c>
      <c r="S95" s="147">
        <f t="shared" si="26"/>
        <v>0</v>
      </c>
      <c r="T95" s="147"/>
      <c r="U95" s="143"/>
    </row>
    <row r="96" spans="1:21" s="144" customFormat="1">
      <c r="A96" s="149" t="s">
        <v>774</v>
      </c>
      <c r="B96" s="146">
        <f>SUM(C96:D96)</f>
        <v>2798408</v>
      </c>
      <c r="C96" s="146">
        <f t="shared" ref="C96:R96" si="27">SUM(C83:C95)</f>
        <v>2798408</v>
      </c>
      <c r="D96" s="146">
        <f t="shared" si="27"/>
        <v>0</v>
      </c>
      <c r="E96" s="146">
        <f t="shared" si="27"/>
        <v>2798408</v>
      </c>
      <c r="F96" s="146">
        <f t="shared" si="27"/>
        <v>0</v>
      </c>
      <c r="G96" s="146">
        <f t="shared" si="27"/>
        <v>0</v>
      </c>
      <c r="H96" s="146">
        <f t="shared" si="27"/>
        <v>0</v>
      </c>
      <c r="I96" s="146">
        <f t="shared" si="27"/>
        <v>0</v>
      </c>
      <c r="J96" s="146">
        <f t="shared" si="27"/>
        <v>0</v>
      </c>
      <c r="K96" s="146">
        <f t="shared" si="27"/>
        <v>0</v>
      </c>
      <c r="L96" s="146">
        <f t="shared" si="27"/>
        <v>0</v>
      </c>
      <c r="M96" s="146">
        <f t="shared" si="27"/>
        <v>0</v>
      </c>
      <c r="N96" s="146">
        <f t="shared" si="27"/>
        <v>0</v>
      </c>
      <c r="O96" s="146">
        <f t="shared" si="27"/>
        <v>0</v>
      </c>
      <c r="P96" s="146">
        <f t="shared" si="27"/>
        <v>0</v>
      </c>
      <c r="Q96" s="146">
        <f t="shared" si="27"/>
        <v>0</v>
      </c>
      <c r="R96" s="342">
        <f t="shared" si="27"/>
        <v>2798408</v>
      </c>
      <c r="S96" s="150">
        <f>SUM(S84:S87,S89:S95)</f>
        <v>2659793</v>
      </c>
      <c r="T96" s="146">
        <f>SUM(T84:T87,T89:T95)</f>
        <v>0</v>
      </c>
      <c r="U96" s="143"/>
    </row>
    <row r="97" spans="1:21" s="144" customFormat="1">
      <c r="A97" s="149" t="s">
        <v>775</v>
      </c>
      <c r="B97" s="146">
        <f>SUM(C97:D97)</f>
        <v>30444035</v>
      </c>
      <c r="C97" s="146">
        <f t="shared" ref="C97:R97" si="28">SUM(C63+C70+C77+C81+C96)</f>
        <v>30444035</v>
      </c>
      <c r="D97" s="146">
        <f t="shared" si="28"/>
        <v>0</v>
      </c>
      <c r="E97" s="146">
        <f t="shared" si="28"/>
        <v>20167159</v>
      </c>
      <c r="F97" s="146">
        <f t="shared" si="28"/>
        <v>7703530</v>
      </c>
      <c r="G97" s="146">
        <f t="shared" si="28"/>
        <v>1573346</v>
      </c>
      <c r="H97" s="146">
        <f t="shared" si="28"/>
        <v>1000000</v>
      </c>
      <c r="I97" s="146">
        <f t="shared" si="28"/>
        <v>0</v>
      </c>
      <c r="J97" s="146">
        <f t="shared" si="28"/>
        <v>0</v>
      </c>
      <c r="K97" s="146">
        <f t="shared" si="28"/>
        <v>0</v>
      </c>
      <c r="L97" s="146">
        <f t="shared" si="28"/>
        <v>0</v>
      </c>
      <c r="M97" s="146">
        <f t="shared" si="28"/>
        <v>0</v>
      </c>
      <c r="N97" s="146">
        <f t="shared" si="28"/>
        <v>0</v>
      </c>
      <c r="O97" s="146">
        <f t="shared" si="28"/>
        <v>0</v>
      </c>
      <c r="P97" s="146">
        <f t="shared" si="28"/>
        <v>0</v>
      </c>
      <c r="Q97" s="146">
        <f t="shared" si="28"/>
        <v>0</v>
      </c>
      <c r="R97" s="146">
        <f t="shared" si="28"/>
        <v>30444035</v>
      </c>
      <c r="S97" s="146">
        <f>SUM(S63+S70+S81+S96)</f>
        <v>27188327</v>
      </c>
      <c r="T97" s="146">
        <f>SUM(T63+T70+T81+T96)</f>
        <v>0</v>
      </c>
      <c r="U97" s="143"/>
    </row>
    <row r="98" spans="1:21" s="144" customFormat="1">
      <c r="A98" s="141" t="s">
        <v>776</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777</v>
      </c>
      <c r="B99" s="146">
        <f>SUM(C99+D99)</f>
        <v>3739102</v>
      </c>
      <c r="C99" s="974">
        <v>3739102</v>
      </c>
      <c r="D99" s="974"/>
      <c r="E99" s="974">
        <v>1135654</v>
      </c>
      <c r="F99" s="147"/>
      <c r="G99" s="147"/>
      <c r="H99" s="147"/>
      <c r="I99" s="147">
        <v>2603448</v>
      </c>
      <c r="J99" s="147"/>
      <c r="K99" s="147"/>
      <c r="L99" s="147"/>
      <c r="M99" s="147"/>
      <c r="N99" s="147"/>
      <c r="O99" s="147"/>
      <c r="P99" s="147"/>
      <c r="Q99" s="147"/>
      <c r="R99" s="516">
        <f>SUM(E99:Q99)</f>
        <v>3739102</v>
      </c>
      <c r="S99" s="147">
        <f>R99</f>
        <v>3739102</v>
      </c>
      <c r="T99" s="147"/>
      <c r="U99" s="143"/>
    </row>
    <row r="100" spans="1:21" s="144" customFormat="1">
      <c r="A100" s="283" t="s">
        <v>1635</v>
      </c>
      <c r="B100" s="146">
        <f>SUM(C100+D100)</f>
        <v>0</v>
      </c>
      <c r="C100" s="147"/>
      <c r="D100" s="147"/>
      <c r="E100" s="147"/>
      <c r="F100" s="147"/>
      <c r="G100" s="147"/>
      <c r="H100" s="147"/>
      <c r="I100" s="147"/>
      <c r="J100" s="147"/>
      <c r="K100" s="147"/>
      <c r="L100" s="147"/>
      <c r="M100" s="147"/>
      <c r="N100" s="147"/>
      <c r="O100" s="147"/>
      <c r="P100" s="147"/>
      <c r="Q100" s="147"/>
      <c r="R100" s="516">
        <f>SUM(E100:Q100)</f>
        <v>0</v>
      </c>
      <c r="S100" s="147">
        <f t="shared" ref="S100:S103" si="29">R100</f>
        <v>0</v>
      </c>
      <c r="T100" s="147"/>
      <c r="U100" s="143"/>
    </row>
    <row r="101" spans="1:21" s="144" customFormat="1" ht="12" customHeight="1">
      <c r="A101" s="145" t="s">
        <v>778</v>
      </c>
      <c r="B101" s="146">
        <f>SUM(C101+D101)</f>
        <v>0</v>
      </c>
      <c r="C101" s="147"/>
      <c r="D101" s="147"/>
      <c r="E101" s="147"/>
      <c r="F101" s="147"/>
      <c r="G101" s="147"/>
      <c r="H101" s="147"/>
      <c r="I101" s="147"/>
      <c r="J101" s="147"/>
      <c r="K101" s="147"/>
      <c r="L101" s="147"/>
      <c r="M101" s="147"/>
      <c r="N101" s="147"/>
      <c r="O101" s="147"/>
      <c r="P101" s="147"/>
      <c r="Q101" s="147"/>
      <c r="R101" s="516">
        <f>SUM(E101:Q101)</f>
        <v>0</v>
      </c>
      <c r="S101" s="147">
        <f t="shared" si="29"/>
        <v>0</v>
      </c>
      <c r="T101" s="147"/>
      <c r="U101" s="143"/>
    </row>
    <row r="102" spans="1:21" s="144" customFormat="1">
      <c r="A102" s="283" t="s">
        <v>1636</v>
      </c>
      <c r="B102" s="146">
        <f>SUM(C102+D102)</f>
        <v>0</v>
      </c>
      <c r="C102" s="147"/>
      <c r="D102" s="147"/>
      <c r="E102" s="147"/>
      <c r="F102" s="147"/>
      <c r="G102" s="147"/>
      <c r="H102" s="147"/>
      <c r="I102" s="147"/>
      <c r="J102" s="147"/>
      <c r="K102" s="147"/>
      <c r="L102" s="147"/>
      <c r="M102" s="147"/>
      <c r="N102" s="147"/>
      <c r="O102" s="147"/>
      <c r="P102" s="147"/>
      <c r="Q102" s="147"/>
      <c r="R102" s="516">
        <f>SUM(E102:Q102)</f>
        <v>0</v>
      </c>
      <c r="S102" s="147">
        <f t="shared" si="29"/>
        <v>0</v>
      </c>
      <c r="T102" s="147"/>
      <c r="U102" s="143"/>
    </row>
    <row r="103" spans="1:21" s="144" customFormat="1">
      <c r="A103" s="1143" t="s">
        <v>34</v>
      </c>
      <c r="B103" s="146">
        <f>SUM(C103+D103)</f>
        <v>0</v>
      </c>
      <c r="C103" s="147"/>
      <c r="D103" s="147"/>
      <c r="E103" s="147"/>
      <c r="F103" s="147"/>
      <c r="G103" s="147"/>
      <c r="H103" s="147"/>
      <c r="I103" s="147"/>
      <c r="J103" s="147"/>
      <c r="K103" s="147"/>
      <c r="L103" s="147"/>
      <c r="M103" s="147"/>
      <c r="N103" s="147"/>
      <c r="O103" s="147"/>
      <c r="P103" s="147"/>
      <c r="Q103" s="147"/>
      <c r="R103" s="516">
        <f>SUM(E103:Q103)</f>
        <v>0</v>
      </c>
      <c r="S103" s="147">
        <f t="shared" si="29"/>
        <v>0</v>
      </c>
      <c r="T103" s="147"/>
      <c r="U103" s="143"/>
    </row>
    <row r="104" spans="1:21" s="144" customFormat="1">
      <c r="A104" s="149" t="s">
        <v>779</v>
      </c>
      <c r="B104" s="146">
        <f>SUM(C104:D104)</f>
        <v>3739102</v>
      </c>
      <c r="C104" s="146">
        <f>SUM(C99:C103)</f>
        <v>3739102</v>
      </c>
      <c r="D104" s="146">
        <f t="shared" ref="D104:T104" si="30">SUM(D99:D103)</f>
        <v>0</v>
      </c>
      <c r="E104" s="146">
        <f t="shared" si="30"/>
        <v>1135654</v>
      </c>
      <c r="F104" s="146">
        <f t="shared" si="30"/>
        <v>0</v>
      </c>
      <c r="G104" s="146">
        <f t="shared" si="30"/>
        <v>0</v>
      </c>
      <c r="H104" s="146">
        <f t="shared" si="30"/>
        <v>0</v>
      </c>
      <c r="I104" s="146">
        <f t="shared" si="30"/>
        <v>2603448</v>
      </c>
      <c r="J104" s="146">
        <f t="shared" si="30"/>
        <v>0</v>
      </c>
      <c r="K104" s="146">
        <f t="shared" si="30"/>
        <v>0</v>
      </c>
      <c r="L104" s="146">
        <f t="shared" si="30"/>
        <v>0</v>
      </c>
      <c r="M104" s="146">
        <f t="shared" si="30"/>
        <v>0</v>
      </c>
      <c r="N104" s="146">
        <f t="shared" si="30"/>
        <v>0</v>
      </c>
      <c r="O104" s="146">
        <f t="shared" si="30"/>
        <v>0</v>
      </c>
      <c r="P104" s="146">
        <f t="shared" si="30"/>
        <v>0</v>
      </c>
      <c r="Q104" s="146">
        <f t="shared" si="30"/>
        <v>0</v>
      </c>
      <c r="R104" s="342">
        <f t="shared" si="30"/>
        <v>3739102</v>
      </c>
      <c r="S104" s="150">
        <f t="shared" si="30"/>
        <v>3739102</v>
      </c>
      <c r="T104" s="150">
        <f t="shared" si="30"/>
        <v>0</v>
      </c>
      <c r="U104" s="143"/>
    </row>
    <row r="105" spans="1:21" s="144" customFormat="1">
      <c r="A105" s="149" t="s">
        <v>780</v>
      </c>
      <c r="B105" s="150">
        <f>SUM(C105:D105)</f>
        <v>34183137</v>
      </c>
      <c r="C105" s="150">
        <f t="shared" ref="C105:R105" si="31">SUM(C97+C104)</f>
        <v>34183137</v>
      </c>
      <c r="D105" s="150">
        <f t="shared" si="31"/>
        <v>0</v>
      </c>
      <c r="E105" s="150">
        <f t="shared" si="31"/>
        <v>21302813</v>
      </c>
      <c r="F105" s="150">
        <f t="shared" si="31"/>
        <v>7703530</v>
      </c>
      <c r="G105" s="150">
        <f t="shared" si="31"/>
        <v>1573346</v>
      </c>
      <c r="H105" s="150">
        <f t="shared" si="31"/>
        <v>1000000</v>
      </c>
      <c r="I105" s="150">
        <f t="shared" si="31"/>
        <v>2603448</v>
      </c>
      <c r="J105" s="150">
        <f t="shared" si="31"/>
        <v>0</v>
      </c>
      <c r="K105" s="150">
        <f t="shared" si="31"/>
        <v>0</v>
      </c>
      <c r="L105" s="150">
        <f t="shared" si="31"/>
        <v>0</v>
      </c>
      <c r="M105" s="150">
        <f t="shared" si="31"/>
        <v>0</v>
      </c>
      <c r="N105" s="150">
        <f t="shared" si="31"/>
        <v>0</v>
      </c>
      <c r="O105" s="150">
        <f t="shared" si="31"/>
        <v>0</v>
      </c>
      <c r="P105" s="150">
        <f t="shared" si="31"/>
        <v>0</v>
      </c>
      <c r="Q105" s="150">
        <f t="shared" si="31"/>
        <v>0</v>
      </c>
      <c r="R105" s="342">
        <f t="shared" si="31"/>
        <v>34183137</v>
      </c>
      <c r="S105" s="150">
        <f>S97+S104</f>
        <v>30927429</v>
      </c>
      <c r="T105" s="150">
        <f>T97+T104</f>
        <v>0</v>
      </c>
      <c r="U105" s="143"/>
    </row>
    <row r="106" spans="1:21">
      <c r="A106" s="514" t="s">
        <v>1020</v>
      </c>
      <c r="B106" s="157"/>
      <c r="C106" s="157"/>
      <c r="D106" s="157"/>
      <c r="H106" s="159" t="s">
        <v>92</v>
      </c>
      <c r="I106" s="159"/>
      <c r="J106" s="159"/>
      <c r="R106" s="160" t="s">
        <v>93</v>
      </c>
      <c r="S106" s="147"/>
      <c r="T106" s="147"/>
    </row>
    <row r="107" spans="1:21">
      <c r="A107" s="157" t="s">
        <v>184</v>
      </c>
      <c r="C107" s="157"/>
      <c r="D107" s="157"/>
      <c r="I107" s="162" t="s">
        <v>350</v>
      </c>
      <c r="J107" s="162"/>
      <c r="R107" s="160" t="s">
        <v>94</v>
      </c>
      <c r="S107" s="150">
        <f>S105+S106</f>
        <v>30927429</v>
      </c>
      <c r="T107" s="150">
        <f>T105+T106</f>
        <v>0</v>
      </c>
    </row>
    <row r="108" spans="1:21" s="189" customFormat="1">
      <c r="A108" s="162" t="s">
        <v>879</v>
      </c>
      <c r="B108" s="157"/>
      <c r="C108" s="157"/>
      <c r="D108" s="157"/>
      <c r="E108" s="301">
        <f>Application!AO648</f>
        <v>21302813</v>
      </c>
      <c r="F108" s="301">
        <f>Application!AO635</f>
        <v>7703530</v>
      </c>
      <c r="G108" s="301">
        <f>Application!AO636</f>
        <v>1573346</v>
      </c>
      <c r="H108" s="301">
        <f>Application!AO637</f>
        <v>1000000</v>
      </c>
      <c r="I108" s="301">
        <f>Application!AO638</f>
        <v>2603448</v>
      </c>
      <c r="J108" s="301">
        <f>Application!AO639</f>
        <v>0</v>
      </c>
      <c r="K108" s="301">
        <f>Application!AO640</f>
        <v>0</v>
      </c>
      <c r="L108" s="301">
        <f>Application!AO641</f>
        <v>0</v>
      </c>
      <c r="M108" s="301">
        <f>Application!AO642</f>
        <v>0</v>
      </c>
      <c r="N108" s="301">
        <f>Application!AO643</f>
        <v>0</v>
      </c>
      <c r="O108" s="301">
        <f>Application!AO644</f>
        <v>0</v>
      </c>
      <c r="P108" s="301">
        <f>Application!AO645</f>
        <v>0</v>
      </c>
      <c r="Q108" s="301">
        <f>Application!AO646</f>
        <v>0</v>
      </c>
      <c r="R108" s="158"/>
      <c r="S108" s="158"/>
      <c r="T108" s="158"/>
      <c r="U108" s="188"/>
    </row>
    <row r="109" spans="1:21" ht="10.15" customHeight="1">
      <c r="A109" s="157"/>
      <c r="B109" s="157"/>
      <c r="C109" s="157"/>
      <c r="D109" s="157"/>
    </row>
    <row r="110" spans="1:21">
      <c r="A110" s="162" t="s">
        <v>958</v>
      </c>
      <c r="B110" s="157"/>
      <c r="C110" s="157"/>
      <c r="D110" s="157"/>
    </row>
    <row r="111" spans="1:21">
      <c r="A111" s="156" t="s">
        <v>959</v>
      </c>
      <c r="B111" s="157"/>
      <c r="C111" s="157"/>
      <c r="D111" s="157"/>
    </row>
    <row r="112" spans="1:21" ht="12" customHeight="1">
      <c r="A112" s="312"/>
      <c r="B112" s="157"/>
      <c r="C112" s="157"/>
      <c r="D112" s="157"/>
    </row>
    <row r="113" spans="1:21">
      <c r="A113" s="156" t="s">
        <v>1019</v>
      </c>
      <c r="B113" s="157"/>
      <c r="C113" s="157"/>
      <c r="D113" s="157"/>
    </row>
    <row r="114" spans="1:21">
      <c r="A114" s="156" t="s">
        <v>2050</v>
      </c>
      <c r="B114" s="157"/>
      <c r="C114" s="157"/>
      <c r="D114" s="157"/>
    </row>
    <row r="115" spans="1:21" ht="12" customHeight="1">
      <c r="A115" s="312"/>
      <c r="B115" s="157"/>
      <c r="C115" s="157"/>
      <c r="D115" s="157"/>
    </row>
    <row r="116" spans="1:21">
      <c r="A116" s="345" t="s">
        <v>1022</v>
      </c>
      <c r="B116" s="157"/>
      <c r="C116" s="157"/>
      <c r="D116" s="157"/>
    </row>
    <row r="117" spans="1:21">
      <c r="A117" s="345" t="s">
        <v>1223</v>
      </c>
      <c r="B117" s="157"/>
      <c r="C117" s="157"/>
      <c r="D117" s="157"/>
    </row>
    <row r="118" spans="1:21">
      <c r="A118" s="345" t="s">
        <v>1021</v>
      </c>
      <c r="B118" s="157"/>
      <c r="C118" s="157"/>
      <c r="D118" s="157"/>
    </row>
    <row r="119" spans="1:21">
      <c r="A119" s="345" t="s">
        <v>1023</v>
      </c>
      <c r="B119" s="157"/>
      <c r="C119" s="157"/>
      <c r="D119" s="157"/>
    </row>
    <row r="120" spans="1:21" ht="12" customHeight="1">
      <c r="A120" s="344"/>
      <c r="B120" s="157"/>
      <c r="C120" s="157"/>
      <c r="D120" s="157"/>
    </row>
    <row r="121" spans="1:21" ht="15.75">
      <c r="A121" s="338" t="s">
        <v>1005</v>
      </c>
      <c r="B121" s="157"/>
      <c r="C121" s="157"/>
      <c r="D121" s="157"/>
    </row>
    <row r="122" spans="1:21">
      <c r="A122" s="325" t="s">
        <v>989</v>
      </c>
      <c r="B122" s="324"/>
      <c r="C122" s="324"/>
      <c r="D122" s="1875" t="s">
        <v>990</v>
      </c>
      <c r="E122" s="1875"/>
      <c r="F122" s="1875"/>
      <c r="G122" s="324"/>
      <c r="H122" s="324"/>
      <c r="I122" s="324"/>
      <c r="J122" s="324"/>
      <c r="K122" s="324"/>
      <c r="L122" s="324"/>
      <c r="M122" s="324"/>
      <c r="N122" s="324"/>
      <c r="O122" s="324"/>
      <c r="P122" s="324"/>
      <c r="Q122" s="324"/>
      <c r="R122" s="324"/>
      <c r="S122" s="324"/>
      <c r="T122" s="324"/>
      <c r="U122" s="326"/>
    </row>
    <row r="123" spans="1:21">
      <c r="A123" s="324" t="s">
        <v>991</v>
      </c>
      <c r="B123" s="333"/>
      <c r="C123" s="324"/>
      <c r="D123" s="1867" t="s">
        <v>1224</v>
      </c>
      <c r="E123" s="1483"/>
      <c r="F123" s="1483"/>
      <c r="G123" s="1483"/>
      <c r="H123" s="1483"/>
      <c r="I123" s="1483"/>
      <c r="J123" s="1483"/>
      <c r="K123" s="1483"/>
      <c r="L123" s="1483"/>
      <c r="M123" s="1483"/>
      <c r="N123" s="1483"/>
      <c r="O123" s="1483"/>
      <c r="P123" s="1483"/>
      <c r="Q123" s="1483"/>
      <c r="R123" s="1483"/>
      <c r="S123" s="1483"/>
      <c r="T123" s="324"/>
      <c r="U123" s="326"/>
    </row>
    <row r="124" spans="1:21" ht="12.75">
      <c r="A124" s="117" t="s">
        <v>992</v>
      </c>
      <c r="B124" s="333"/>
      <c r="C124" s="117"/>
      <c r="D124" s="1483"/>
      <c r="E124" s="1483"/>
      <c r="F124" s="1483"/>
      <c r="G124" s="1483"/>
      <c r="H124" s="1483"/>
      <c r="I124" s="1483"/>
      <c r="J124" s="1483"/>
      <c r="K124" s="1483"/>
      <c r="L124" s="1483"/>
      <c r="M124" s="1483"/>
      <c r="N124" s="1483"/>
      <c r="O124" s="1483"/>
      <c r="P124" s="1483"/>
      <c r="Q124" s="1483"/>
      <c r="R124" s="1483"/>
      <c r="S124" s="1483"/>
      <c r="T124" s="324"/>
      <c r="U124" s="326"/>
    </row>
    <row r="125" spans="1:21" ht="12.75">
      <c r="A125" s="117" t="s">
        <v>993</v>
      </c>
      <c r="B125" s="333"/>
      <c r="C125" s="117"/>
      <c r="D125" s="1483"/>
      <c r="E125" s="1483"/>
      <c r="F125" s="1483"/>
      <c r="G125" s="1483"/>
      <c r="H125" s="1483"/>
      <c r="I125" s="1483"/>
      <c r="J125" s="1483"/>
      <c r="K125" s="1483"/>
      <c r="L125" s="1483"/>
      <c r="M125" s="1483"/>
      <c r="N125" s="1483"/>
      <c r="O125" s="1483"/>
      <c r="P125" s="1483"/>
      <c r="Q125" s="1483"/>
      <c r="R125" s="1483"/>
      <c r="S125" s="1483"/>
      <c r="T125" s="324"/>
      <c r="U125" s="326"/>
    </row>
    <row r="126" spans="1:21" ht="12.75">
      <c r="A126" s="117" t="s">
        <v>994</v>
      </c>
      <c r="B126" s="333"/>
      <c r="C126" s="117"/>
      <c r="D126" s="116"/>
      <c r="E126" s="116"/>
      <c r="F126" s="116"/>
      <c r="G126" s="116"/>
      <c r="H126" s="116"/>
      <c r="I126" s="116"/>
      <c r="J126" s="116"/>
      <c r="K126" s="116"/>
      <c r="L126" s="116"/>
      <c r="M126" s="116"/>
      <c r="N126" s="116"/>
      <c r="O126" s="117"/>
      <c r="P126" s="117"/>
      <c r="Q126" s="117"/>
      <c r="R126" s="117"/>
      <c r="S126" s="117"/>
      <c r="T126" s="324"/>
      <c r="U126" s="326"/>
    </row>
    <row r="127" spans="1:21" ht="12.75">
      <c r="A127" s="117" t="s">
        <v>995</v>
      </c>
      <c r="B127" s="333"/>
      <c r="C127" s="117"/>
      <c r="D127" s="116"/>
      <c r="E127" s="116"/>
      <c r="F127" s="116"/>
      <c r="G127" s="116"/>
      <c r="H127" s="116"/>
      <c r="I127" s="116"/>
      <c r="J127" s="116"/>
      <c r="K127" s="116"/>
      <c r="L127" s="116"/>
      <c r="M127" s="116"/>
      <c r="N127" s="116"/>
      <c r="O127" s="117"/>
      <c r="P127" s="117"/>
      <c r="Q127" s="117"/>
      <c r="R127" s="117"/>
      <c r="S127" s="117"/>
      <c r="T127" s="324"/>
      <c r="U127" s="326"/>
    </row>
    <row r="128" spans="1:21" ht="12.75">
      <c r="A128" s="117" t="s">
        <v>996</v>
      </c>
      <c r="B128" s="333"/>
      <c r="C128" s="117"/>
      <c r="D128" s="1870"/>
      <c r="E128" s="1870"/>
      <c r="F128" s="1870"/>
      <c r="G128" s="1870"/>
      <c r="H128" s="1870"/>
      <c r="I128" s="117"/>
      <c r="J128" s="1866"/>
      <c r="K128" s="1866"/>
      <c r="L128" s="117"/>
      <c r="M128" s="117"/>
      <c r="N128" s="117"/>
      <c r="O128" s="117"/>
      <c r="P128" s="117"/>
      <c r="Q128" s="117"/>
      <c r="R128" s="117"/>
      <c r="S128" s="117"/>
      <c r="T128" s="324"/>
      <c r="U128" s="326"/>
    </row>
    <row r="129" spans="1:21" ht="12.75">
      <c r="A129" s="117" t="s">
        <v>300</v>
      </c>
      <c r="B129" s="333"/>
      <c r="C129" s="117"/>
      <c r="D129" s="1874" t="s">
        <v>997</v>
      </c>
      <c r="E129" s="1874"/>
      <c r="F129" s="1874"/>
      <c r="G129" s="1874"/>
      <c r="H129" s="1874"/>
      <c r="I129" s="117"/>
      <c r="J129" s="117" t="s">
        <v>998</v>
      </c>
      <c r="K129" s="117"/>
      <c r="L129" s="117"/>
      <c r="M129" s="117"/>
      <c r="N129" s="117"/>
      <c r="O129" s="117"/>
      <c r="P129" s="117"/>
      <c r="Q129" s="117"/>
      <c r="R129" s="117"/>
      <c r="S129" s="117"/>
      <c r="T129" s="324"/>
      <c r="U129" s="326"/>
    </row>
    <row r="130" spans="1:21" ht="12" customHeight="1">
      <c r="A130" s="117"/>
      <c r="B130" s="332"/>
      <c r="C130" s="117"/>
      <c r="D130" s="117"/>
      <c r="E130" s="117"/>
      <c r="F130" s="117"/>
      <c r="G130" s="117"/>
      <c r="H130" s="117"/>
      <c r="I130" s="117"/>
      <c r="J130" s="117"/>
      <c r="K130" s="117"/>
      <c r="L130" s="117"/>
      <c r="M130" s="117"/>
      <c r="N130" s="117"/>
      <c r="O130" s="117"/>
      <c r="P130" s="117"/>
      <c r="Q130" s="117"/>
      <c r="R130" s="117"/>
      <c r="S130" s="117"/>
      <c r="T130" s="324"/>
      <c r="U130" s="326"/>
    </row>
    <row r="131" spans="1:21" ht="12.75">
      <c r="A131" s="335" t="s">
        <v>999</v>
      </c>
      <c r="B131" s="334">
        <f>SUM(B123:B129)</f>
        <v>0</v>
      </c>
      <c r="C131" s="117"/>
      <c r="D131" s="1448"/>
      <c r="E131" s="1448"/>
      <c r="F131" s="1448"/>
      <c r="G131" s="1448"/>
      <c r="H131" s="1448"/>
      <c r="I131" s="117"/>
      <c r="J131" s="1448"/>
      <c r="K131" s="1448"/>
      <c r="L131" s="1448"/>
      <c r="M131" s="1448"/>
      <c r="N131" s="117"/>
      <c r="O131" s="117"/>
      <c r="P131" s="117"/>
      <c r="Q131" s="117"/>
      <c r="R131" s="117"/>
      <c r="S131" s="117"/>
      <c r="T131" s="324"/>
      <c r="U131" s="326"/>
    </row>
    <row r="132" spans="1:21" ht="12" customHeight="1">
      <c r="A132" s="336"/>
      <c r="B132" s="117"/>
      <c r="C132" s="117"/>
      <c r="D132" s="1868" t="s">
        <v>1000</v>
      </c>
      <c r="E132" s="1868"/>
      <c r="F132" s="1868"/>
      <c r="G132" s="1868"/>
      <c r="H132" s="1868"/>
      <c r="I132" s="117"/>
      <c r="J132" s="1868" t="s">
        <v>1001</v>
      </c>
      <c r="K132" s="1868"/>
      <c r="L132" s="1868"/>
      <c r="M132" s="1868"/>
      <c r="N132" s="117"/>
      <c r="O132" s="117"/>
      <c r="P132" s="117"/>
      <c r="Q132" s="117"/>
      <c r="R132" s="117"/>
      <c r="S132" s="117"/>
      <c r="T132" s="324"/>
      <c r="U132" s="326"/>
    </row>
    <row r="133" spans="1:21" ht="12" customHeight="1">
      <c r="A133" s="336"/>
      <c r="B133" s="117"/>
      <c r="C133" s="117"/>
      <c r="D133" s="117"/>
      <c r="E133" s="117"/>
      <c r="F133" s="117"/>
      <c r="G133" s="117"/>
      <c r="H133" s="117"/>
      <c r="I133" s="117"/>
      <c r="J133" s="117"/>
      <c r="K133" s="117"/>
      <c r="L133" s="117"/>
      <c r="M133" s="117"/>
      <c r="N133" s="117"/>
      <c r="O133" s="117"/>
      <c r="P133" s="117"/>
      <c r="Q133" s="117"/>
      <c r="R133" s="117"/>
      <c r="S133" s="117"/>
      <c r="T133" s="324"/>
      <c r="U133" s="326"/>
    </row>
    <row r="134" spans="1:21" ht="12.75">
      <c r="A134" s="91" t="s">
        <v>1002</v>
      </c>
      <c r="B134" s="117"/>
      <c r="C134" s="117"/>
      <c r="D134" s="117"/>
      <c r="E134" s="117"/>
      <c r="F134" s="117"/>
      <c r="G134" s="117"/>
      <c r="H134" s="117"/>
      <c r="I134" s="117"/>
      <c r="J134" s="117"/>
      <c r="K134" s="117"/>
      <c r="L134" s="117"/>
      <c r="M134" s="117"/>
      <c r="N134" s="117"/>
      <c r="O134" s="117"/>
      <c r="P134" s="117"/>
      <c r="Q134" s="117"/>
      <c r="R134" s="117"/>
      <c r="S134" s="117"/>
      <c r="T134" s="324"/>
      <c r="U134" s="326"/>
    </row>
    <row r="135" spans="1:21" ht="12.75">
      <c r="A135" s="312" t="s">
        <v>1003</v>
      </c>
      <c r="B135" s="117"/>
      <c r="C135" s="117"/>
      <c r="D135" s="117"/>
      <c r="E135" s="117"/>
      <c r="F135" s="117"/>
      <c r="G135" s="117"/>
      <c r="H135" s="117"/>
      <c r="I135" s="117"/>
      <c r="J135" s="117"/>
      <c r="K135" s="117"/>
      <c r="L135" s="117"/>
      <c r="M135" s="117"/>
      <c r="N135" s="337"/>
      <c r="O135" s="117"/>
      <c r="P135" s="117"/>
      <c r="Q135" s="117"/>
      <c r="R135" s="117"/>
      <c r="S135" s="117"/>
      <c r="T135" s="324"/>
      <c r="U135" s="326"/>
    </row>
    <row r="136" spans="1:21" ht="12" customHeight="1">
      <c r="A136" s="336"/>
      <c r="B136" s="117"/>
      <c r="C136" s="117"/>
      <c r="D136" s="117"/>
      <c r="E136" s="117"/>
      <c r="F136" s="117"/>
      <c r="G136" s="117"/>
      <c r="H136" s="117"/>
      <c r="I136" s="117"/>
      <c r="J136" s="117"/>
      <c r="K136" s="117"/>
      <c r="L136" s="117"/>
      <c r="M136" s="117"/>
      <c r="N136" s="117"/>
      <c r="O136" s="117"/>
      <c r="P136" s="117"/>
      <c r="Q136" s="117"/>
      <c r="R136" s="117"/>
      <c r="S136" s="117"/>
      <c r="T136" s="330"/>
      <c r="U136" s="331"/>
    </row>
    <row r="137" spans="1:21" ht="12.75">
      <c r="A137" s="336"/>
      <c r="B137" s="117"/>
      <c r="C137" s="117"/>
      <c r="D137" s="117"/>
      <c r="E137" s="117"/>
      <c r="F137" s="117"/>
      <c r="G137" s="117"/>
      <c r="H137" s="117"/>
      <c r="I137" s="117"/>
      <c r="J137" s="117"/>
      <c r="K137" s="117"/>
      <c r="L137" s="117"/>
      <c r="M137" s="117"/>
      <c r="N137" s="117"/>
      <c r="O137" s="117"/>
      <c r="P137" s="117"/>
      <c r="Q137" s="117"/>
      <c r="R137" s="117"/>
      <c r="S137" s="117"/>
      <c r="T137" s="330"/>
      <c r="U137" s="331"/>
    </row>
    <row r="138" spans="1:21" ht="12" customHeight="1">
      <c r="A138" s="1869"/>
      <c r="B138" s="1870"/>
      <c r="C138" s="1870"/>
      <c r="D138" s="328"/>
      <c r="E138" s="1866"/>
      <c r="F138" s="1866"/>
      <c r="G138" s="117"/>
      <c r="H138" s="117"/>
      <c r="I138" s="117"/>
      <c r="J138" s="117"/>
      <c r="K138" s="117"/>
      <c r="L138" s="117"/>
      <c r="M138" s="117"/>
      <c r="N138" s="117"/>
      <c r="O138" s="117"/>
      <c r="P138" s="117"/>
      <c r="Q138" s="117"/>
      <c r="R138" s="117"/>
      <c r="S138" s="117"/>
      <c r="T138" s="330"/>
      <c r="U138" s="331"/>
    </row>
    <row r="139" spans="1:21" ht="12.75">
      <c r="A139" s="1865" t="s">
        <v>1004</v>
      </c>
      <c r="B139" s="1865"/>
      <c r="C139" s="1865"/>
      <c r="D139" s="328"/>
      <c r="E139" s="117" t="s">
        <v>998</v>
      </c>
      <c r="F139" s="117"/>
      <c r="G139" s="117"/>
      <c r="H139" s="117"/>
      <c r="I139" s="117"/>
      <c r="J139" s="117"/>
      <c r="K139" s="117"/>
      <c r="L139" s="117"/>
      <c r="M139" s="117"/>
      <c r="N139" s="117"/>
      <c r="O139" s="117"/>
      <c r="P139" s="117"/>
      <c r="Q139" s="117"/>
      <c r="R139" s="117"/>
      <c r="S139" s="117"/>
      <c r="T139" s="330"/>
      <c r="U139" s="331"/>
    </row>
    <row r="140" spans="1:21" ht="12.75">
      <c r="A140" s="336"/>
      <c r="B140" s="117"/>
      <c r="C140" s="117"/>
      <c r="D140" s="328"/>
      <c r="E140" s="117"/>
      <c r="F140" s="117"/>
      <c r="G140" s="117"/>
      <c r="H140" s="117"/>
      <c r="I140" s="117"/>
      <c r="J140" s="117"/>
      <c r="K140" s="117"/>
      <c r="L140" s="117"/>
      <c r="M140" s="117"/>
      <c r="N140" s="117"/>
      <c r="O140" s="117"/>
      <c r="P140" s="117"/>
      <c r="Q140" s="117"/>
      <c r="R140" s="117"/>
      <c r="S140" s="117"/>
      <c r="T140" s="327"/>
      <c r="U140" s="329"/>
    </row>
    <row r="151"/>
    <row r="152"/>
    <row r="153"/>
    <row r="154"/>
    <row r="155"/>
  </sheetData>
  <sheetProtection algorithmName="SHA-512" hashValue="soPcBJ50ZgH3eWjIiYeTRgRXM9/zYzWepBtyNl3Jgsd697zl+JWK0hvg4z9Ao7qsNU/1a5FJrEhOuVZlTRNnKA==" saltValue="iUnut2I8JDsg1jfHQ7FHK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9" priority="8">
      <formula>AND(B25&gt;0,OR(A25="",A25="Other: (Specify)"))</formula>
    </cfRule>
  </conditionalFormatting>
  <conditionalFormatting sqref="A37">
    <cfRule type="expression" dxfId="68" priority="7">
      <formula>AND(B37&gt;0,OR(A37="",A37="Other: (Specify)"))</formula>
    </cfRule>
  </conditionalFormatting>
  <conditionalFormatting sqref="A53">
    <cfRule type="expression" dxfId="67" priority="6">
      <formula>AND(B53&gt;0,OR(A53="",A53="Other: (Specify)"))</formula>
    </cfRule>
  </conditionalFormatting>
  <conditionalFormatting sqref="A61">
    <cfRule type="expression" dxfId="66" priority="5">
      <formula>AND(B61&gt;0,OR(A61="",A61="Other: (Specify)"))</formula>
    </cfRule>
  </conditionalFormatting>
  <conditionalFormatting sqref="A69">
    <cfRule type="expression" dxfId="65" priority="4">
      <formula>AND(B69&gt;0,OR(A69="",A69="Other: (Specify)"))</formula>
    </cfRule>
  </conditionalFormatting>
  <conditionalFormatting sqref="A76">
    <cfRule type="expression" dxfId="64" priority="3">
      <formula>AND(B76&gt;0,OR(A76="",A76="Other: (Specify)"))</formula>
    </cfRule>
  </conditionalFormatting>
  <conditionalFormatting sqref="A93:A95">
    <cfRule type="expression" dxfId="63" priority="2">
      <formula>AND(B93&gt;0,OR(A93="",A93="Other: (Specify)"))</formula>
    </cfRule>
  </conditionalFormatting>
  <conditionalFormatting sqref="A103">
    <cfRule type="expression" dxfId="62" priority="1">
      <formula>AND(B103&gt;0,OR(A103="",A103="Other: (Specify)"))</formula>
    </cfRule>
  </conditionalFormatting>
  <conditionalFormatting sqref="C10">
    <cfRule type="expression" dxfId="61" priority="85">
      <formula>"(S10+T10)&gt;C10 "</formula>
    </cfRule>
  </conditionalFormatting>
  <conditionalFormatting sqref="E105:Q105">
    <cfRule type="cellIs" dxfId="60" priority="208" stopIfTrue="1" operator="notEqual">
      <formula>E$108</formula>
    </cfRule>
  </conditionalFormatting>
  <conditionalFormatting sqref="R4:R15">
    <cfRule type="cellIs" dxfId="59"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8"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7"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6"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5"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4"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3"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2"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1" priority="213" stopIfTrue="1" operator="notEqual">
      <formula>$B79</formula>
    </cfRule>
  </conditionalFormatting>
  <conditionalFormatting sqref="R83:R96">
    <cfRule type="cellIs" dxfId="50"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9"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8" priority="253" stopIfTrue="1">
      <formula>(S10+T10)&gt;C10</formula>
    </cfRule>
  </conditionalFormatting>
  <conditionalFormatting sqref="S13:S14">
    <cfRule type="expression" dxfId="47" priority="202" stopIfTrue="1">
      <formula>(S13+T13)&gt;C13</formula>
    </cfRule>
  </conditionalFormatting>
  <conditionalFormatting sqref="S17:S25">
    <cfRule type="expression" dxfId="46" priority="186" stopIfTrue="1">
      <formula>(S17+T17)&gt;C17</formula>
    </cfRule>
  </conditionalFormatting>
  <conditionalFormatting sqref="S27">
    <cfRule type="expression" dxfId="45" priority="179" stopIfTrue="1">
      <formula>(S27+T27)&gt;C27</formula>
    </cfRule>
  </conditionalFormatting>
  <conditionalFormatting sqref="S29:S37">
    <cfRule type="expression" dxfId="44" priority="169" stopIfTrue="1">
      <formula>(S29+T29)&gt;C29</formula>
    </cfRule>
  </conditionalFormatting>
  <conditionalFormatting sqref="S40:S41">
    <cfRule type="expression" dxfId="43" priority="160" stopIfTrue="1">
      <formula>(S40+T40)&gt;C40</formula>
    </cfRule>
  </conditionalFormatting>
  <conditionalFormatting sqref="S43">
    <cfRule type="expression" dxfId="42" priority="157" stopIfTrue="1">
      <formula>(S43+T43)&gt;C43</formula>
    </cfRule>
  </conditionalFormatting>
  <conditionalFormatting sqref="S45:S53">
    <cfRule type="expression" dxfId="41" priority="142" stopIfTrue="1">
      <formula>(S45+T45)&gt;C45</formula>
    </cfRule>
  </conditionalFormatting>
  <conditionalFormatting sqref="S65:S69">
    <cfRule type="expression" dxfId="40" priority="131" stopIfTrue="1">
      <formula>(S65+T65)&gt;C65</formula>
    </cfRule>
  </conditionalFormatting>
  <conditionalFormatting sqref="S79:S80">
    <cfRule type="expression" dxfId="39" priority="127" stopIfTrue="1">
      <formula>(S79+T79)&gt;C79</formula>
    </cfRule>
  </conditionalFormatting>
  <conditionalFormatting sqref="S84:S87">
    <cfRule type="expression" dxfId="38" priority="121" stopIfTrue="1">
      <formula>(S84+T84)&gt;C84</formula>
    </cfRule>
  </conditionalFormatting>
  <conditionalFormatting sqref="S89:S95">
    <cfRule type="expression" dxfId="37" priority="110" stopIfTrue="1">
      <formula>(S89+T89)&gt;C89</formula>
    </cfRule>
  </conditionalFormatting>
  <conditionalFormatting sqref="S99:S103">
    <cfRule type="expression" dxfId="36" priority="93" stopIfTrue="1">
      <formula>(S99+T99)&gt;C99</formula>
    </cfRule>
  </conditionalFormatting>
  <conditionalFormatting sqref="T9">
    <cfRule type="expression" dxfId="35" priority="254" stopIfTrue="1">
      <formula>T9&gt;C9</formula>
    </cfRule>
  </conditionalFormatting>
  <conditionalFormatting sqref="T10">
    <cfRule type="expression" dxfId="34" priority="83" stopIfTrue="1">
      <formula>(S10+T10)&gt;C10</formula>
    </cfRule>
  </conditionalFormatting>
  <conditionalFormatting sqref="T13:T14">
    <cfRule type="expression" dxfId="33" priority="80" stopIfTrue="1">
      <formula>(S13+T13)&gt;C13</formula>
    </cfRule>
  </conditionalFormatting>
  <conditionalFormatting sqref="T17:T25">
    <cfRule type="expression" dxfId="32" priority="56" stopIfTrue="1">
      <formula>(S17+T17)&gt;C17</formula>
    </cfRule>
  </conditionalFormatting>
  <conditionalFormatting sqref="T27">
    <cfRule type="expression" dxfId="31" priority="54" stopIfTrue="1">
      <formula>(S27+T27)&gt;C27</formula>
    </cfRule>
  </conditionalFormatting>
  <conditionalFormatting sqref="T29:T37">
    <cfRule type="expression" dxfId="30" priority="45" stopIfTrue="1">
      <formula>(S29+T29)&gt;C29</formula>
    </cfRule>
  </conditionalFormatting>
  <conditionalFormatting sqref="T40:T41">
    <cfRule type="expression" dxfId="29" priority="43" stopIfTrue="1">
      <formula>(S40+T40)&gt;C40</formula>
    </cfRule>
  </conditionalFormatting>
  <conditionalFormatting sqref="T43">
    <cfRule type="expression" dxfId="28" priority="42" stopIfTrue="1">
      <formula>(S43+T43)&gt;C43</formula>
    </cfRule>
  </conditionalFormatting>
  <conditionalFormatting sqref="T45:T53">
    <cfRule type="expression" dxfId="27" priority="32" stopIfTrue="1">
      <formula>(S45+T45)&gt;C45</formula>
    </cfRule>
  </conditionalFormatting>
  <conditionalFormatting sqref="T65:T69">
    <cfRule type="expression" dxfId="26" priority="30" stopIfTrue="1">
      <formula>(S65+T65)&gt;C65</formula>
    </cfRule>
  </conditionalFormatting>
  <conditionalFormatting sqref="T79:T80">
    <cfRule type="expression" dxfId="25" priority="28" stopIfTrue="1">
      <formula>(S79+T79)&gt;C79</formula>
    </cfRule>
  </conditionalFormatting>
  <conditionalFormatting sqref="T84:T87">
    <cfRule type="expression" dxfId="24" priority="24" stopIfTrue="1">
      <formula>(S84+T84)&gt;C84</formula>
    </cfRule>
  </conditionalFormatting>
  <conditionalFormatting sqref="T89:T95">
    <cfRule type="expression" dxfId="23" priority="17" stopIfTrue="1">
      <formula>(S89+T89)&gt;C89</formula>
    </cfRule>
  </conditionalFormatting>
  <conditionalFormatting sqref="T99:T103">
    <cfRule type="expression" dxfId="22"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topLeftCell="A27" workbookViewId="0">
      <selection activeCell="F99" sqref="F99:F103"/>
    </sheetView>
  </sheetViews>
  <sheetFormatPr defaultColWidth="0" defaultRowHeight="12" zeroHeight="1"/>
  <cols>
    <col min="1" max="1" width="32.7109375" style="397" customWidth="1"/>
    <col min="2" max="3" width="12.140625" style="393" customWidth="1"/>
    <col min="4" max="6" width="12.85546875" style="393" customWidth="1"/>
    <col min="7" max="9" width="12.140625" style="393" customWidth="1"/>
    <col min="10" max="10" width="12.140625" style="394" customWidth="1"/>
    <col min="11" max="11" width="8.85546875" style="395" hidden="1" customWidth="1"/>
    <col min="12" max="21" width="8.85546875" style="393" hidden="1" customWidth="1"/>
    <col min="22" max="23" width="0" style="393" hidden="1"/>
    <col min="24" max="256" width="8.85546875" style="393" hidden="1"/>
    <col min="257" max="257" width="32.7109375" style="393" hidden="1" customWidth="1"/>
    <col min="258" max="259" width="12.140625" style="393" hidden="1" customWidth="1"/>
    <col min="260" max="260" width="12.85546875" style="393" hidden="1" customWidth="1"/>
    <col min="261" max="266" width="12.140625" style="393" hidden="1" customWidth="1"/>
    <col min="267" max="277" width="8.85546875" style="393" hidden="1" customWidth="1"/>
    <col min="278" max="512" width="8.85546875" style="393" hidden="1"/>
    <col min="513" max="513" width="32.7109375" style="393" hidden="1" customWidth="1"/>
    <col min="514" max="515" width="12.140625" style="393" hidden="1" customWidth="1"/>
    <col min="516" max="516" width="12.85546875" style="393" hidden="1" customWidth="1"/>
    <col min="517" max="522" width="12.140625" style="393" hidden="1" customWidth="1"/>
    <col min="523" max="533" width="8.85546875" style="393" hidden="1" customWidth="1"/>
    <col min="534" max="768" width="8.85546875" style="393" hidden="1"/>
    <col min="769" max="769" width="32.7109375" style="393" hidden="1" customWidth="1"/>
    <col min="770" max="771" width="12.140625" style="393" hidden="1" customWidth="1"/>
    <col min="772" max="772" width="12.85546875" style="393" hidden="1" customWidth="1"/>
    <col min="773" max="778" width="12.140625" style="393" hidden="1" customWidth="1"/>
    <col min="779" max="789" width="8.85546875" style="393" hidden="1" customWidth="1"/>
    <col min="790" max="1024" width="8.85546875" style="393" hidden="1"/>
    <col min="1025" max="1025" width="32.7109375" style="393" hidden="1" customWidth="1"/>
    <col min="1026" max="1027" width="12.140625" style="393" hidden="1" customWidth="1"/>
    <col min="1028" max="1028" width="12.85546875" style="393" hidden="1" customWidth="1"/>
    <col min="1029" max="1034" width="12.140625" style="393" hidden="1" customWidth="1"/>
    <col min="1035" max="1045" width="8.85546875" style="393" hidden="1" customWidth="1"/>
    <col min="1046" max="1280" width="8.85546875" style="393" hidden="1"/>
    <col min="1281" max="1281" width="32.7109375" style="393" hidden="1" customWidth="1"/>
    <col min="1282" max="1283" width="12.140625" style="393" hidden="1" customWidth="1"/>
    <col min="1284" max="1284" width="12.85546875" style="393" hidden="1" customWidth="1"/>
    <col min="1285" max="1290" width="12.140625" style="393" hidden="1" customWidth="1"/>
    <col min="1291" max="1301" width="8.85546875" style="393" hidden="1" customWidth="1"/>
    <col min="1302" max="1536" width="8.85546875" style="393" hidden="1"/>
    <col min="1537" max="1537" width="32.7109375" style="393" hidden="1" customWidth="1"/>
    <col min="1538" max="1539" width="12.140625" style="393" hidden="1" customWidth="1"/>
    <col min="1540" max="1540" width="12.85546875" style="393" hidden="1" customWidth="1"/>
    <col min="1541" max="1546" width="12.140625" style="393" hidden="1" customWidth="1"/>
    <col min="1547" max="1557" width="8.85546875" style="393" hidden="1" customWidth="1"/>
    <col min="1558" max="1792" width="8.85546875" style="393" hidden="1"/>
    <col min="1793" max="1793" width="32.7109375" style="393" hidden="1" customWidth="1"/>
    <col min="1794" max="1795" width="12.140625" style="393" hidden="1" customWidth="1"/>
    <col min="1796" max="1796" width="12.85546875" style="393" hidden="1" customWidth="1"/>
    <col min="1797" max="1802" width="12.140625" style="393" hidden="1" customWidth="1"/>
    <col min="1803" max="1813" width="8.85546875" style="393" hidden="1" customWidth="1"/>
    <col min="1814" max="2048" width="8.85546875" style="393" hidden="1"/>
    <col min="2049" max="2049" width="32.7109375" style="393" hidden="1" customWidth="1"/>
    <col min="2050" max="2051" width="12.140625" style="393" hidden="1" customWidth="1"/>
    <col min="2052" max="2052" width="12.85546875" style="393" hidden="1" customWidth="1"/>
    <col min="2053" max="2058" width="12.140625" style="393" hidden="1" customWidth="1"/>
    <col min="2059" max="2069" width="8.85546875" style="393" hidden="1" customWidth="1"/>
    <col min="2070" max="2304" width="8.85546875" style="393" hidden="1"/>
    <col min="2305" max="2305" width="32.7109375" style="393" hidden="1" customWidth="1"/>
    <col min="2306" max="2307" width="12.140625" style="393" hidden="1" customWidth="1"/>
    <col min="2308" max="2308" width="12.85546875" style="393" hidden="1" customWidth="1"/>
    <col min="2309" max="2314" width="12.140625" style="393" hidden="1" customWidth="1"/>
    <col min="2315" max="2325" width="8.85546875" style="393" hidden="1" customWidth="1"/>
    <col min="2326" max="2560" width="8.85546875" style="393" hidden="1"/>
    <col min="2561" max="2561" width="32.7109375" style="393" hidden="1" customWidth="1"/>
    <col min="2562" max="2563" width="12.140625" style="393" hidden="1" customWidth="1"/>
    <col min="2564" max="2564" width="12.85546875" style="393" hidden="1" customWidth="1"/>
    <col min="2565" max="2570" width="12.140625" style="393" hidden="1" customWidth="1"/>
    <col min="2571" max="2581" width="8.85546875" style="393" hidden="1" customWidth="1"/>
    <col min="2582" max="2816" width="8.85546875" style="393" hidden="1"/>
    <col min="2817" max="2817" width="32.7109375" style="393" hidden="1" customWidth="1"/>
    <col min="2818" max="2819" width="12.140625" style="393" hidden="1" customWidth="1"/>
    <col min="2820" max="2820" width="12.85546875" style="393" hidden="1" customWidth="1"/>
    <col min="2821" max="2826" width="12.140625" style="393" hidden="1" customWidth="1"/>
    <col min="2827" max="2837" width="8.85546875" style="393" hidden="1" customWidth="1"/>
    <col min="2838" max="3072" width="8.85546875" style="393" hidden="1"/>
    <col min="3073" max="3073" width="32.7109375" style="393" hidden="1" customWidth="1"/>
    <col min="3074" max="3075" width="12.140625" style="393" hidden="1" customWidth="1"/>
    <col min="3076" max="3076" width="12.85546875" style="393" hidden="1" customWidth="1"/>
    <col min="3077" max="3082" width="12.140625" style="393" hidden="1" customWidth="1"/>
    <col min="3083" max="3093" width="8.85546875" style="393" hidden="1" customWidth="1"/>
    <col min="3094" max="3328" width="8.85546875" style="393" hidden="1"/>
    <col min="3329" max="3329" width="32.7109375" style="393" hidden="1" customWidth="1"/>
    <col min="3330" max="3331" width="12.140625" style="393" hidden="1" customWidth="1"/>
    <col min="3332" max="3332" width="12.85546875" style="393" hidden="1" customWidth="1"/>
    <col min="3333" max="3338" width="12.140625" style="393" hidden="1" customWidth="1"/>
    <col min="3339" max="3349" width="8.85546875" style="393" hidden="1" customWidth="1"/>
    <col min="3350" max="3584" width="8.85546875" style="393" hidden="1"/>
    <col min="3585" max="3585" width="32.7109375" style="393" hidden="1" customWidth="1"/>
    <col min="3586" max="3587" width="12.140625" style="393" hidden="1" customWidth="1"/>
    <col min="3588" max="3588" width="12.85546875" style="393" hidden="1" customWidth="1"/>
    <col min="3589" max="3594" width="12.140625" style="393" hidden="1" customWidth="1"/>
    <col min="3595" max="3605" width="8.85546875" style="393" hidden="1" customWidth="1"/>
    <col min="3606" max="3840" width="8.85546875" style="393" hidden="1"/>
    <col min="3841" max="3841" width="32.7109375" style="393" hidden="1" customWidth="1"/>
    <col min="3842" max="3843" width="12.140625" style="393" hidden="1" customWidth="1"/>
    <col min="3844" max="3844" width="12.85546875" style="393" hidden="1" customWidth="1"/>
    <col min="3845" max="3850" width="12.140625" style="393" hidden="1" customWidth="1"/>
    <col min="3851" max="3861" width="8.85546875" style="393" hidden="1" customWidth="1"/>
    <col min="3862" max="4096" width="8.85546875" style="393" hidden="1"/>
    <col min="4097" max="4097" width="32.7109375" style="393" hidden="1" customWidth="1"/>
    <col min="4098" max="4099" width="12.140625" style="393" hidden="1" customWidth="1"/>
    <col min="4100" max="4100" width="12.85546875" style="393" hidden="1" customWidth="1"/>
    <col min="4101" max="4106" width="12.140625" style="393" hidden="1" customWidth="1"/>
    <col min="4107" max="4117" width="8.85546875" style="393" hidden="1" customWidth="1"/>
    <col min="4118" max="4352" width="8.85546875" style="393" hidden="1"/>
    <col min="4353" max="4353" width="32.7109375" style="393" hidden="1" customWidth="1"/>
    <col min="4354" max="4355" width="12.140625" style="393" hidden="1" customWidth="1"/>
    <col min="4356" max="4356" width="12.85546875" style="393" hidden="1" customWidth="1"/>
    <col min="4357" max="4362" width="12.140625" style="393" hidden="1" customWidth="1"/>
    <col min="4363" max="4373" width="8.85546875" style="393" hidden="1" customWidth="1"/>
    <col min="4374" max="4608" width="8.85546875" style="393" hidden="1"/>
    <col min="4609" max="4609" width="32.7109375" style="393" hidden="1" customWidth="1"/>
    <col min="4610" max="4611" width="12.140625" style="393" hidden="1" customWidth="1"/>
    <col min="4612" max="4612" width="12.85546875" style="393" hidden="1" customWidth="1"/>
    <col min="4613" max="4618" width="12.140625" style="393" hidden="1" customWidth="1"/>
    <col min="4619" max="4629" width="8.85546875" style="393" hidden="1" customWidth="1"/>
    <col min="4630" max="4864" width="8.85546875" style="393" hidden="1"/>
    <col min="4865" max="4865" width="32.7109375" style="393" hidden="1" customWidth="1"/>
    <col min="4866" max="4867" width="12.140625" style="393" hidden="1" customWidth="1"/>
    <col min="4868" max="4868" width="12.85546875" style="393" hidden="1" customWidth="1"/>
    <col min="4869" max="4874" width="12.140625" style="393" hidden="1" customWidth="1"/>
    <col min="4875" max="4885" width="8.85546875" style="393" hidden="1" customWidth="1"/>
    <col min="4886" max="5120" width="8.85546875" style="393" hidden="1"/>
    <col min="5121" max="5121" width="32.7109375" style="393" hidden="1" customWidth="1"/>
    <col min="5122" max="5123" width="12.140625" style="393" hidden="1" customWidth="1"/>
    <col min="5124" max="5124" width="12.85546875" style="393" hidden="1" customWidth="1"/>
    <col min="5125" max="5130" width="12.140625" style="393" hidden="1" customWidth="1"/>
    <col min="5131" max="5141" width="8.85546875" style="393" hidden="1" customWidth="1"/>
    <col min="5142" max="5376" width="8.85546875" style="393" hidden="1"/>
    <col min="5377" max="5377" width="32.7109375" style="393" hidden="1" customWidth="1"/>
    <col min="5378" max="5379" width="12.140625" style="393" hidden="1" customWidth="1"/>
    <col min="5380" max="5380" width="12.85546875" style="393" hidden="1" customWidth="1"/>
    <col min="5381" max="5386" width="12.140625" style="393" hidden="1" customWidth="1"/>
    <col min="5387" max="5397" width="8.85546875" style="393" hidden="1" customWidth="1"/>
    <col min="5398" max="5632" width="8.85546875" style="393" hidden="1"/>
    <col min="5633" max="5633" width="32.7109375" style="393" hidden="1" customWidth="1"/>
    <col min="5634" max="5635" width="12.140625" style="393" hidden="1" customWidth="1"/>
    <col min="5636" max="5636" width="12.85546875" style="393" hidden="1" customWidth="1"/>
    <col min="5637" max="5642" width="12.140625" style="393" hidden="1" customWidth="1"/>
    <col min="5643" max="5653" width="8.85546875" style="393" hidden="1" customWidth="1"/>
    <col min="5654" max="5888" width="8.85546875" style="393" hidden="1"/>
    <col min="5889" max="5889" width="32.7109375" style="393" hidden="1" customWidth="1"/>
    <col min="5890" max="5891" width="12.140625" style="393" hidden="1" customWidth="1"/>
    <col min="5892" max="5892" width="12.85546875" style="393" hidden="1" customWidth="1"/>
    <col min="5893" max="5898" width="12.140625" style="393" hidden="1" customWidth="1"/>
    <col min="5899" max="5909" width="8.85546875" style="393" hidden="1" customWidth="1"/>
    <col min="5910" max="6144" width="8.85546875" style="393" hidden="1"/>
    <col min="6145" max="6145" width="32.7109375" style="393" hidden="1" customWidth="1"/>
    <col min="6146" max="6147" width="12.140625" style="393" hidden="1" customWidth="1"/>
    <col min="6148" max="6148" width="12.85546875" style="393" hidden="1" customWidth="1"/>
    <col min="6149" max="6154" width="12.140625" style="393" hidden="1" customWidth="1"/>
    <col min="6155" max="6165" width="8.85546875" style="393" hidden="1" customWidth="1"/>
    <col min="6166" max="6400" width="8.85546875" style="393" hidden="1"/>
    <col min="6401" max="6401" width="32.7109375" style="393" hidden="1" customWidth="1"/>
    <col min="6402" max="6403" width="12.140625" style="393" hidden="1" customWidth="1"/>
    <col min="6404" max="6404" width="12.85546875" style="393" hidden="1" customWidth="1"/>
    <col min="6405" max="6410" width="12.140625" style="393" hidden="1" customWidth="1"/>
    <col min="6411" max="6421" width="8.85546875" style="393" hidden="1" customWidth="1"/>
    <col min="6422" max="6656" width="8.85546875" style="393" hidden="1"/>
    <col min="6657" max="6657" width="32.7109375" style="393" hidden="1" customWidth="1"/>
    <col min="6658" max="6659" width="12.140625" style="393" hidden="1" customWidth="1"/>
    <col min="6660" max="6660" width="12.85546875" style="393" hidden="1" customWidth="1"/>
    <col min="6661" max="6666" width="12.140625" style="393" hidden="1" customWidth="1"/>
    <col min="6667" max="6677" width="8.85546875" style="393" hidden="1" customWidth="1"/>
    <col min="6678" max="6912" width="8.85546875" style="393" hidden="1"/>
    <col min="6913" max="6913" width="32.7109375" style="393" hidden="1" customWidth="1"/>
    <col min="6914" max="6915" width="12.140625" style="393" hidden="1" customWidth="1"/>
    <col min="6916" max="6916" width="12.85546875" style="393" hidden="1" customWidth="1"/>
    <col min="6917" max="6922" width="12.140625" style="393" hidden="1" customWidth="1"/>
    <col min="6923" max="6933" width="8.85546875" style="393" hidden="1" customWidth="1"/>
    <col min="6934" max="7168" width="8.85546875" style="393" hidden="1"/>
    <col min="7169" max="7169" width="32.7109375" style="393" hidden="1" customWidth="1"/>
    <col min="7170" max="7171" width="12.140625" style="393" hidden="1" customWidth="1"/>
    <col min="7172" max="7172" width="12.85546875" style="393" hidden="1" customWidth="1"/>
    <col min="7173" max="7178" width="12.140625" style="393" hidden="1" customWidth="1"/>
    <col min="7179" max="7189" width="8.85546875" style="393" hidden="1" customWidth="1"/>
    <col min="7190" max="7424" width="8.85546875" style="393" hidden="1"/>
    <col min="7425" max="7425" width="32.7109375" style="393" hidden="1" customWidth="1"/>
    <col min="7426" max="7427" width="12.140625" style="393" hidden="1" customWidth="1"/>
    <col min="7428" max="7428" width="12.85546875" style="393" hidden="1" customWidth="1"/>
    <col min="7429" max="7434" width="12.140625" style="393" hidden="1" customWidth="1"/>
    <col min="7435" max="7445" width="8.85546875" style="393" hidden="1" customWidth="1"/>
    <col min="7446" max="7680" width="8.85546875" style="393" hidden="1"/>
    <col min="7681" max="7681" width="32.7109375" style="393" hidden="1" customWidth="1"/>
    <col min="7682" max="7683" width="12.140625" style="393" hidden="1" customWidth="1"/>
    <col min="7684" max="7684" width="12.85546875" style="393" hidden="1" customWidth="1"/>
    <col min="7685" max="7690" width="12.140625" style="393" hidden="1" customWidth="1"/>
    <col min="7691" max="7701" width="8.85546875" style="393" hidden="1" customWidth="1"/>
    <col min="7702" max="7936" width="8.85546875" style="393" hidden="1"/>
    <col min="7937" max="7937" width="32.7109375" style="393" hidden="1" customWidth="1"/>
    <col min="7938" max="7939" width="12.140625" style="393" hidden="1" customWidth="1"/>
    <col min="7940" max="7940" width="12.85546875" style="393" hidden="1" customWidth="1"/>
    <col min="7941" max="7946" width="12.140625" style="393" hidden="1" customWidth="1"/>
    <col min="7947" max="7957" width="8.85546875" style="393" hidden="1" customWidth="1"/>
    <col min="7958" max="8192" width="8.85546875" style="393" hidden="1"/>
    <col min="8193" max="8193" width="32.7109375" style="393" hidden="1" customWidth="1"/>
    <col min="8194" max="8195" width="12.140625" style="393" hidden="1" customWidth="1"/>
    <col min="8196" max="8196" width="12.85546875" style="393" hidden="1" customWidth="1"/>
    <col min="8197" max="8202" width="12.140625" style="393" hidden="1" customWidth="1"/>
    <col min="8203" max="8213" width="8.85546875" style="393" hidden="1" customWidth="1"/>
    <col min="8214" max="8448" width="8.85546875" style="393" hidden="1"/>
    <col min="8449" max="8449" width="32.7109375" style="393" hidden="1" customWidth="1"/>
    <col min="8450" max="8451" width="12.140625" style="393" hidden="1" customWidth="1"/>
    <col min="8452" max="8452" width="12.85546875" style="393" hidden="1" customWidth="1"/>
    <col min="8453" max="8458" width="12.140625" style="393" hidden="1" customWidth="1"/>
    <col min="8459" max="8469" width="8.85546875" style="393" hidden="1" customWidth="1"/>
    <col min="8470" max="8704" width="8.85546875" style="393" hidden="1"/>
    <col min="8705" max="8705" width="32.7109375" style="393" hidden="1" customWidth="1"/>
    <col min="8706" max="8707" width="12.140625" style="393" hidden="1" customWidth="1"/>
    <col min="8708" max="8708" width="12.85546875" style="393" hidden="1" customWidth="1"/>
    <col min="8709" max="8714" width="12.140625" style="393" hidden="1" customWidth="1"/>
    <col min="8715" max="8725" width="8.85546875" style="393" hidden="1" customWidth="1"/>
    <col min="8726" max="8960" width="8.85546875" style="393" hidden="1"/>
    <col min="8961" max="8961" width="32.7109375" style="393" hidden="1" customWidth="1"/>
    <col min="8962" max="8963" width="12.140625" style="393" hidden="1" customWidth="1"/>
    <col min="8964" max="8964" width="12.85546875" style="393" hidden="1" customWidth="1"/>
    <col min="8965" max="8970" width="12.140625" style="393" hidden="1" customWidth="1"/>
    <col min="8971" max="8981" width="8.85546875" style="393" hidden="1" customWidth="1"/>
    <col min="8982" max="9216" width="8.85546875" style="393" hidden="1"/>
    <col min="9217" max="9217" width="32.7109375" style="393" hidden="1" customWidth="1"/>
    <col min="9218" max="9219" width="12.140625" style="393" hidden="1" customWidth="1"/>
    <col min="9220" max="9220" width="12.85546875" style="393" hidden="1" customWidth="1"/>
    <col min="9221" max="9226" width="12.140625" style="393" hidden="1" customWidth="1"/>
    <col min="9227" max="9237" width="8.85546875" style="393" hidden="1" customWidth="1"/>
    <col min="9238" max="9472" width="8.85546875" style="393" hidden="1"/>
    <col min="9473" max="9473" width="32.7109375" style="393" hidden="1" customWidth="1"/>
    <col min="9474" max="9475" width="12.140625" style="393" hidden="1" customWidth="1"/>
    <col min="9476" max="9476" width="12.85546875" style="393" hidden="1" customWidth="1"/>
    <col min="9477" max="9482" width="12.140625" style="393" hidden="1" customWidth="1"/>
    <col min="9483" max="9493" width="8.85546875" style="393" hidden="1" customWidth="1"/>
    <col min="9494" max="9728" width="8.85546875" style="393" hidden="1"/>
    <col min="9729" max="9729" width="32.7109375" style="393" hidden="1" customWidth="1"/>
    <col min="9730" max="9731" width="12.140625" style="393" hidden="1" customWidth="1"/>
    <col min="9732" max="9732" width="12.85546875" style="393" hidden="1" customWidth="1"/>
    <col min="9733" max="9738" width="12.140625" style="393" hidden="1" customWidth="1"/>
    <col min="9739" max="9749" width="8.85546875" style="393" hidden="1" customWidth="1"/>
    <col min="9750" max="9984" width="8.85546875" style="393" hidden="1"/>
    <col min="9985" max="9985" width="32.7109375" style="393" hidden="1" customWidth="1"/>
    <col min="9986" max="9987" width="12.140625" style="393" hidden="1" customWidth="1"/>
    <col min="9988" max="9988" width="12.85546875" style="393" hidden="1" customWidth="1"/>
    <col min="9989" max="9994" width="12.140625" style="393" hidden="1" customWidth="1"/>
    <col min="9995" max="10005" width="8.85546875" style="393" hidden="1" customWidth="1"/>
    <col min="10006" max="10240" width="8.85546875" style="393" hidden="1"/>
    <col min="10241" max="10241" width="32.7109375" style="393" hidden="1" customWidth="1"/>
    <col min="10242" max="10243" width="12.140625" style="393" hidden="1" customWidth="1"/>
    <col min="10244" max="10244" width="12.85546875" style="393" hidden="1" customWidth="1"/>
    <col min="10245" max="10250" width="12.140625" style="393" hidden="1" customWidth="1"/>
    <col min="10251" max="10261" width="8.85546875" style="393" hidden="1" customWidth="1"/>
    <col min="10262" max="10496" width="8.85546875" style="393" hidden="1"/>
    <col min="10497" max="10497" width="32.7109375" style="393" hidden="1" customWidth="1"/>
    <col min="10498" max="10499" width="12.140625" style="393" hidden="1" customWidth="1"/>
    <col min="10500" max="10500" width="12.85546875" style="393" hidden="1" customWidth="1"/>
    <col min="10501" max="10506" width="12.140625" style="393" hidden="1" customWidth="1"/>
    <col min="10507" max="10517" width="8.85546875" style="393" hidden="1" customWidth="1"/>
    <col min="10518" max="10752" width="8.85546875" style="393" hidden="1"/>
    <col min="10753" max="10753" width="32.7109375" style="393" hidden="1" customWidth="1"/>
    <col min="10754" max="10755" width="12.140625" style="393" hidden="1" customWidth="1"/>
    <col min="10756" max="10756" width="12.85546875" style="393" hidden="1" customWidth="1"/>
    <col min="10757" max="10762" width="12.140625" style="393" hidden="1" customWidth="1"/>
    <col min="10763" max="10773" width="8.85546875" style="393" hidden="1" customWidth="1"/>
    <col min="10774" max="11008" width="8.85546875" style="393" hidden="1"/>
    <col min="11009" max="11009" width="32.7109375" style="393" hidden="1" customWidth="1"/>
    <col min="11010" max="11011" width="12.140625" style="393" hidden="1" customWidth="1"/>
    <col min="11012" max="11012" width="12.85546875" style="393" hidden="1" customWidth="1"/>
    <col min="11013" max="11018" width="12.140625" style="393" hidden="1" customWidth="1"/>
    <col min="11019" max="11029" width="8.85546875" style="393" hidden="1" customWidth="1"/>
    <col min="11030" max="11264" width="8.85546875" style="393" hidden="1"/>
    <col min="11265" max="11265" width="32.7109375" style="393" hidden="1" customWidth="1"/>
    <col min="11266" max="11267" width="12.140625" style="393" hidden="1" customWidth="1"/>
    <col min="11268" max="11268" width="12.85546875" style="393" hidden="1" customWidth="1"/>
    <col min="11269" max="11274" width="12.140625" style="393" hidden="1" customWidth="1"/>
    <col min="11275" max="11285" width="8.85546875" style="393" hidden="1" customWidth="1"/>
    <col min="11286" max="11520" width="8.85546875" style="393" hidden="1"/>
    <col min="11521" max="11521" width="32.7109375" style="393" hidden="1" customWidth="1"/>
    <col min="11522" max="11523" width="12.140625" style="393" hidden="1" customWidth="1"/>
    <col min="11524" max="11524" width="12.85546875" style="393" hidden="1" customWidth="1"/>
    <col min="11525" max="11530" width="12.140625" style="393" hidden="1" customWidth="1"/>
    <col min="11531" max="11541" width="8.85546875" style="393" hidden="1" customWidth="1"/>
    <col min="11542" max="11776" width="8.85546875" style="393" hidden="1"/>
    <col min="11777" max="11777" width="32.7109375" style="393" hidden="1" customWidth="1"/>
    <col min="11778" max="11779" width="12.140625" style="393" hidden="1" customWidth="1"/>
    <col min="11780" max="11780" width="12.85546875" style="393" hidden="1" customWidth="1"/>
    <col min="11781" max="11786" width="12.140625" style="393" hidden="1" customWidth="1"/>
    <col min="11787" max="11797" width="8.85546875" style="393" hidden="1" customWidth="1"/>
    <col min="11798" max="12032" width="8.85546875" style="393" hidden="1"/>
    <col min="12033" max="12033" width="32.7109375" style="393" hidden="1" customWidth="1"/>
    <col min="12034" max="12035" width="12.140625" style="393" hidden="1" customWidth="1"/>
    <col min="12036" max="12036" width="12.85546875" style="393" hidden="1" customWidth="1"/>
    <col min="12037" max="12042" width="12.140625" style="393" hidden="1" customWidth="1"/>
    <col min="12043" max="12053" width="8.85546875" style="393" hidden="1" customWidth="1"/>
    <col min="12054" max="12288" width="8.85546875" style="393" hidden="1"/>
    <col min="12289" max="12289" width="32.7109375" style="393" hidden="1" customWidth="1"/>
    <col min="12290" max="12291" width="12.140625" style="393" hidden="1" customWidth="1"/>
    <col min="12292" max="12292" width="12.85546875" style="393" hidden="1" customWidth="1"/>
    <col min="12293" max="12298" width="12.140625" style="393" hidden="1" customWidth="1"/>
    <col min="12299" max="12309" width="8.85546875" style="393" hidden="1" customWidth="1"/>
    <col min="12310" max="12544" width="8.85546875" style="393" hidden="1"/>
    <col min="12545" max="12545" width="32.7109375" style="393" hidden="1" customWidth="1"/>
    <col min="12546" max="12547" width="12.140625" style="393" hidden="1" customWidth="1"/>
    <col min="12548" max="12548" width="12.85546875" style="393" hidden="1" customWidth="1"/>
    <col min="12549" max="12554" width="12.140625" style="393" hidden="1" customWidth="1"/>
    <col min="12555" max="12565" width="8.85546875" style="393" hidden="1" customWidth="1"/>
    <col min="12566" max="12800" width="8.85546875" style="393" hidden="1"/>
    <col min="12801" max="12801" width="32.7109375" style="393" hidden="1" customWidth="1"/>
    <col min="12802" max="12803" width="12.140625" style="393" hidden="1" customWidth="1"/>
    <col min="12804" max="12804" width="12.85546875" style="393" hidden="1" customWidth="1"/>
    <col min="12805" max="12810" width="12.140625" style="393" hidden="1" customWidth="1"/>
    <col min="12811" max="12821" width="8.85546875" style="393" hidden="1" customWidth="1"/>
    <col min="12822" max="13056" width="8.85546875" style="393" hidden="1"/>
    <col min="13057" max="13057" width="32.7109375" style="393" hidden="1" customWidth="1"/>
    <col min="13058" max="13059" width="12.140625" style="393" hidden="1" customWidth="1"/>
    <col min="13060" max="13060" width="12.85546875" style="393" hidden="1" customWidth="1"/>
    <col min="13061" max="13066" width="12.140625" style="393" hidden="1" customWidth="1"/>
    <col min="13067" max="13077" width="8.85546875" style="393" hidden="1" customWidth="1"/>
    <col min="13078" max="13312" width="8.85546875" style="393" hidden="1"/>
    <col min="13313" max="13313" width="32.7109375" style="393" hidden="1" customWidth="1"/>
    <col min="13314" max="13315" width="12.140625" style="393" hidden="1" customWidth="1"/>
    <col min="13316" max="13316" width="12.85546875" style="393" hidden="1" customWidth="1"/>
    <col min="13317" max="13322" width="12.140625" style="393" hidden="1" customWidth="1"/>
    <col min="13323" max="13333" width="8.85546875" style="393" hidden="1" customWidth="1"/>
    <col min="13334" max="13568" width="8.85546875" style="393" hidden="1"/>
    <col min="13569" max="13569" width="32.7109375" style="393" hidden="1" customWidth="1"/>
    <col min="13570" max="13571" width="12.140625" style="393" hidden="1" customWidth="1"/>
    <col min="13572" max="13572" width="12.85546875" style="393" hidden="1" customWidth="1"/>
    <col min="13573" max="13578" width="12.140625" style="393" hidden="1" customWidth="1"/>
    <col min="13579" max="13589" width="8.85546875" style="393" hidden="1" customWidth="1"/>
    <col min="13590" max="13824" width="8.85546875" style="393" hidden="1"/>
    <col min="13825" max="13825" width="32.7109375" style="393" hidden="1" customWidth="1"/>
    <col min="13826" max="13827" width="12.140625" style="393" hidden="1" customWidth="1"/>
    <col min="13828" max="13828" width="12.85546875" style="393" hidden="1" customWidth="1"/>
    <col min="13829" max="13834" width="12.140625" style="393" hidden="1" customWidth="1"/>
    <col min="13835" max="13845" width="8.85546875" style="393" hidden="1" customWidth="1"/>
    <col min="13846" max="14080" width="8.85546875" style="393" hidden="1"/>
    <col min="14081" max="14081" width="32.7109375" style="393" hidden="1" customWidth="1"/>
    <col min="14082" max="14083" width="12.140625" style="393" hidden="1" customWidth="1"/>
    <col min="14084" max="14084" width="12.85546875" style="393" hidden="1" customWidth="1"/>
    <col min="14085" max="14090" width="12.140625" style="393" hidden="1" customWidth="1"/>
    <col min="14091" max="14101" width="8.85546875" style="393" hidden="1" customWidth="1"/>
    <col min="14102" max="14336" width="8.85546875" style="393" hidden="1"/>
    <col min="14337" max="14337" width="32.7109375" style="393" hidden="1" customWidth="1"/>
    <col min="14338" max="14339" width="12.140625" style="393" hidden="1" customWidth="1"/>
    <col min="14340" max="14340" width="12.85546875" style="393" hidden="1" customWidth="1"/>
    <col min="14341" max="14346" width="12.140625" style="393" hidden="1" customWidth="1"/>
    <col min="14347" max="14357" width="8.85546875" style="393" hidden="1" customWidth="1"/>
    <col min="14358" max="14592" width="8.85546875" style="393" hidden="1"/>
    <col min="14593" max="14593" width="32.7109375" style="393" hidden="1" customWidth="1"/>
    <col min="14594" max="14595" width="12.140625" style="393" hidden="1" customWidth="1"/>
    <col min="14596" max="14596" width="12.85546875" style="393" hidden="1" customWidth="1"/>
    <col min="14597" max="14602" width="12.140625" style="393" hidden="1" customWidth="1"/>
    <col min="14603" max="14613" width="8.85546875" style="393" hidden="1" customWidth="1"/>
    <col min="14614" max="14848" width="8.85546875" style="393" hidden="1"/>
    <col min="14849" max="14849" width="32.7109375" style="393" hidden="1" customWidth="1"/>
    <col min="14850" max="14851" width="12.140625" style="393" hidden="1" customWidth="1"/>
    <col min="14852" max="14852" width="12.85546875" style="393" hidden="1" customWidth="1"/>
    <col min="14853" max="14858" width="12.140625" style="393" hidden="1" customWidth="1"/>
    <col min="14859" max="14869" width="8.85546875" style="393" hidden="1" customWidth="1"/>
    <col min="14870" max="15104" width="8.85546875" style="393" hidden="1"/>
    <col min="15105" max="15105" width="32.7109375" style="393" hidden="1" customWidth="1"/>
    <col min="15106" max="15107" width="12.140625" style="393" hidden="1" customWidth="1"/>
    <col min="15108" max="15108" width="12.85546875" style="393" hidden="1" customWidth="1"/>
    <col min="15109" max="15114" width="12.140625" style="393" hidden="1" customWidth="1"/>
    <col min="15115" max="15125" width="8.85546875" style="393" hidden="1" customWidth="1"/>
    <col min="15126" max="15360" width="8.85546875" style="393" hidden="1"/>
    <col min="15361" max="15361" width="32.7109375" style="393" hidden="1" customWidth="1"/>
    <col min="15362" max="15363" width="12.140625" style="393" hidden="1" customWidth="1"/>
    <col min="15364" max="15364" width="12.85546875" style="393" hidden="1" customWidth="1"/>
    <col min="15365" max="15370" width="12.140625" style="393" hidden="1" customWidth="1"/>
    <col min="15371" max="15381" width="8.85546875" style="393" hidden="1" customWidth="1"/>
    <col min="15382" max="15616" width="8.85546875" style="393" hidden="1"/>
    <col min="15617" max="15617" width="32.7109375" style="393" hidden="1" customWidth="1"/>
    <col min="15618" max="15619" width="12.140625" style="393" hidden="1" customWidth="1"/>
    <col min="15620" max="15620" width="12.85546875" style="393" hidden="1" customWidth="1"/>
    <col min="15621" max="15626" width="12.140625" style="393" hidden="1" customWidth="1"/>
    <col min="15627" max="15637" width="8.85546875" style="393" hidden="1" customWidth="1"/>
    <col min="15638" max="15872" width="8.85546875" style="393" hidden="1"/>
    <col min="15873" max="15873" width="32.7109375" style="393" hidden="1" customWidth="1"/>
    <col min="15874" max="15875" width="12.140625" style="393" hidden="1" customWidth="1"/>
    <col min="15876" max="15876" width="12.85546875" style="393" hidden="1" customWidth="1"/>
    <col min="15877" max="15882" width="12.140625" style="393" hidden="1" customWidth="1"/>
    <col min="15883" max="15893" width="8.85546875" style="393" hidden="1" customWidth="1"/>
    <col min="15894" max="16128" width="8.85546875" style="393" hidden="1"/>
    <col min="16129" max="16129" width="32.7109375" style="393" hidden="1" customWidth="1"/>
    <col min="16130" max="16131" width="12.140625" style="393" hidden="1" customWidth="1"/>
    <col min="16132" max="16132" width="12.85546875" style="393" hidden="1" customWidth="1"/>
    <col min="16133" max="16138" width="12.140625" style="393" hidden="1" customWidth="1"/>
    <col min="16139" max="16149" width="8.85546875" style="393" hidden="1" customWidth="1"/>
    <col min="16150" max="16384" width="8.85546875" style="393" hidden="1"/>
  </cols>
  <sheetData>
    <row r="1" spans="1:11" s="356" customFormat="1" ht="12.75">
      <c r="A1" s="1878" t="s">
        <v>1227</v>
      </c>
      <c r="B1" s="1879"/>
      <c r="C1" s="1879"/>
      <c r="D1" s="1879"/>
      <c r="E1" s="1879"/>
      <c r="F1" s="1879"/>
      <c r="G1" s="1879"/>
      <c r="H1" s="1879"/>
      <c r="I1" s="1879"/>
      <c r="J1" s="1880"/>
      <c r="K1" s="355"/>
    </row>
    <row r="2" spans="1:11" s="401" customFormat="1" ht="72">
      <c r="A2" s="398"/>
      <c r="B2" s="399" t="s">
        <v>1027</v>
      </c>
      <c r="C2" s="399" t="s">
        <v>1229</v>
      </c>
      <c r="D2" s="399" t="s">
        <v>1230</v>
      </c>
      <c r="E2" s="399" t="s">
        <v>1158</v>
      </c>
      <c r="F2" s="399" t="s">
        <v>1231</v>
      </c>
      <c r="G2" s="399" t="s">
        <v>1232</v>
      </c>
      <c r="H2" s="399" t="s">
        <v>1028</v>
      </c>
      <c r="I2" s="399" t="s">
        <v>1233</v>
      </c>
      <c r="J2" s="399" t="s">
        <v>1234</v>
      </c>
      <c r="K2" s="400"/>
    </row>
    <row r="3" spans="1:11" s="360" customFormat="1">
      <c r="A3" s="357" t="s">
        <v>26</v>
      </c>
      <c r="B3" s="358"/>
      <c r="C3" s="358"/>
      <c r="D3" s="358"/>
      <c r="E3" s="358"/>
      <c r="F3" s="358"/>
      <c r="G3" s="358"/>
      <c r="H3" s="358"/>
      <c r="I3" s="358"/>
      <c r="J3" s="358"/>
      <c r="K3" s="359"/>
    </row>
    <row r="4" spans="1:11" s="360" customFormat="1">
      <c r="A4" s="364" t="s">
        <v>27</v>
      </c>
      <c r="B4" s="361">
        <f>'Sources and Uses Budget'!C4</f>
        <v>2660867</v>
      </c>
      <c r="C4" s="362">
        <f>B4</f>
        <v>2660867</v>
      </c>
      <c r="D4" s="362"/>
      <c r="E4" s="363"/>
      <c r="F4" s="363"/>
      <c r="G4" s="363"/>
      <c r="H4" s="363"/>
      <c r="I4" s="363"/>
      <c r="J4" s="363"/>
      <c r="K4" s="359"/>
    </row>
    <row r="5" spans="1:11" s="360" customFormat="1">
      <c r="A5" s="364" t="s">
        <v>28</v>
      </c>
      <c r="B5" s="361">
        <f>'Sources and Uses Budget'!C5</f>
        <v>0</v>
      </c>
      <c r="C5" s="362"/>
      <c r="D5" s="362"/>
      <c r="E5" s="363"/>
      <c r="F5" s="363"/>
      <c r="G5" s="363"/>
      <c r="H5" s="363"/>
      <c r="I5" s="363"/>
      <c r="J5" s="363"/>
      <c r="K5" s="359"/>
    </row>
    <row r="6" spans="1:11" s="360" customFormat="1">
      <c r="A6" s="364" t="s">
        <v>29</v>
      </c>
      <c r="B6" s="361">
        <f>'Sources and Uses Budget'!C6</f>
        <v>0</v>
      </c>
      <c r="C6" s="362"/>
      <c r="D6" s="362"/>
      <c r="E6" s="363"/>
      <c r="F6" s="363"/>
      <c r="G6" s="363"/>
      <c r="H6" s="363"/>
      <c r="I6" s="363"/>
      <c r="J6" s="363"/>
      <c r="K6" s="359"/>
    </row>
    <row r="7" spans="1:11" s="360" customFormat="1">
      <c r="A7" s="364" t="s">
        <v>97</v>
      </c>
      <c r="B7" s="361">
        <f>'Sources and Uses Budget'!C7</f>
        <v>0</v>
      </c>
      <c r="C7" s="362"/>
      <c r="D7" s="362"/>
      <c r="E7" s="363"/>
      <c r="F7" s="363"/>
      <c r="G7" s="363"/>
      <c r="H7" s="363"/>
      <c r="I7" s="363"/>
      <c r="J7" s="363"/>
      <c r="K7" s="359"/>
    </row>
    <row r="8" spans="1:11" s="360" customFormat="1">
      <c r="A8" s="365" t="s">
        <v>593</v>
      </c>
      <c r="B8" s="361">
        <f>'Sources and Uses Budget'!C8</f>
        <v>2660867</v>
      </c>
      <c r="C8" s="361">
        <f>SUM(C4:C7)</f>
        <v>2660867</v>
      </c>
      <c r="D8" s="361">
        <f>SUM(D4:D7)</f>
        <v>0</v>
      </c>
      <c r="E8" s="363"/>
      <c r="F8" s="363"/>
      <c r="G8" s="363"/>
      <c r="H8" s="363"/>
      <c r="I8" s="363"/>
      <c r="J8" s="363"/>
      <c r="K8" s="359"/>
    </row>
    <row r="9" spans="1:11" s="360" customFormat="1">
      <c r="A9" s="364" t="s">
        <v>594</v>
      </c>
      <c r="B9" s="361">
        <f>'Sources and Uses Budget'!C9</f>
        <v>0</v>
      </c>
      <c r="C9" s="362"/>
      <c r="D9" s="362"/>
      <c r="E9" s="363"/>
      <c r="F9" s="363"/>
      <c r="G9" s="363"/>
      <c r="H9" s="361">
        <f>'Sources and Uses Budget'!T9</f>
        <v>0</v>
      </c>
      <c r="I9" s="362"/>
      <c r="J9" s="362"/>
      <c r="K9" s="359"/>
    </row>
    <row r="10" spans="1:11" s="360" customFormat="1">
      <c r="A10" s="364" t="s">
        <v>595</v>
      </c>
      <c r="B10" s="361">
        <f>'Sources and Uses Budget'!C10</f>
        <v>0</v>
      </c>
      <c r="C10" s="362"/>
      <c r="D10" s="362"/>
      <c r="E10" s="361">
        <f>'Sources and Uses Budget'!S10</f>
        <v>0</v>
      </c>
      <c r="F10" s="362"/>
      <c r="G10" s="362"/>
      <c r="H10" s="361">
        <f>'Sources and Uses Budget'!T10</f>
        <v>0</v>
      </c>
      <c r="I10" s="362"/>
      <c r="J10" s="362"/>
      <c r="K10" s="359"/>
    </row>
    <row r="11" spans="1:11" s="360" customFormat="1">
      <c r="A11" s="365" t="s">
        <v>596</v>
      </c>
      <c r="B11" s="361">
        <f>'Sources and Uses Budget'!C11</f>
        <v>0</v>
      </c>
      <c r="C11" s="361">
        <f>SUM(C9:C10)</f>
        <v>0</v>
      </c>
      <c r="D11" s="361">
        <f>SUM(D9:D10)</f>
        <v>0</v>
      </c>
      <c r="E11" s="363"/>
      <c r="F11" s="363"/>
      <c r="G11" s="363"/>
      <c r="H11" s="361">
        <f>'Sources and Uses Budget'!T11</f>
        <v>0</v>
      </c>
      <c r="I11" s="361">
        <f>SUM(I9:I10)</f>
        <v>0</v>
      </c>
      <c r="J11" s="361">
        <f>SUM(J9:J10)</f>
        <v>0</v>
      </c>
      <c r="K11" s="359"/>
    </row>
    <row r="12" spans="1:11" s="360" customFormat="1">
      <c r="A12" s="365" t="s">
        <v>84</v>
      </c>
      <c r="B12" s="361">
        <f>'Sources and Uses Budget'!C12</f>
        <v>2660867</v>
      </c>
      <c r="C12" s="361">
        <f>SUM(C8+C11)</f>
        <v>2660867</v>
      </c>
      <c r="D12" s="361">
        <f>SUM(D8+D11)</f>
        <v>0</v>
      </c>
      <c r="E12" s="363"/>
      <c r="F12" s="363"/>
      <c r="G12" s="363"/>
      <c r="H12" s="363"/>
      <c r="I12" s="363"/>
      <c r="J12" s="363"/>
      <c r="K12" s="359"/>
    </row>
    <row r="13" spans="1:11" s="360" customFormat="1">
      <c r="A13" s="366" t="s">
        <v>902</v>
      </c>
      <c r="B13" s="361">
        <f>'Sources and Uses Budget'!C13</f>
        <v>0</v>
      </c>
      <c r="C13" s="362"/>
      <c r="D13" s="362"/>
      <c r="E13" s="361">
        <f>'Sources and Uses Budget'!S13</f>
        <v>0</v>
      </c>
      <c r="F13" s="362"/>
      <c r="G13" s="362"/>
      <c r="H13" s="361">
        <f>'Sources and Uses Budget'!T13</f>
        <v>0</v>
      </c>
      <c r="I13" s="362"/>
      <c r="J13" s="362"/>
      <c r="K13" s="359"/>
    </row>
    <row r="14" spans="1:11" s="360" customFormat="1" ht="24">
      <c r="A14" s="364" t="s">
        <v>903</v>
      </c>
      <c r="B14" s="361">
        <f>'Sources and Uses Budget'!C14</f>
        <v>0</v>
      </c>
      <c r="C14" s="362"/>
      <c r="D14" s="362"/>
      <c r="E14" s="361">
        <f>'Sources and Uses Budget'!S14</f>
        <v>0</v>
      </c>
      <c r="F14" s="362"/>
      <c r="G14" s="362"/>
      <c r="H14" s="361">
        <f>'Sources and Uses Budget'!T14</f>
        <v>0</v>
      </c>
      <c r="I14" s="362"/>
      <c r="J14" s="362"/>
      <c r="K14" s="359"/>
    </row>
    <row r="15" spans="1:11" s="360" customFormat="1">
      <c r="A15" s="364" t="s">
        <v>1161</v>
      </c>
      <c r="B15" s="361">
        <f>'Sources and Uses Budget'!C15</f>
        <v>0</v>
      </c>
      <c r="C15" s="362"/>
      <c r="D15" s="362"/>
      <c r="E15" s="363">
        <f>'Sources and Uses Budget'!S15</f>
        <v>0</v>
      </c>
      <c r="F15" s="363"/>
      <c r="G15" s="363"/>
      <c r="H15" s="363">
        <f>'Sources and Uses Budget'!T15</f>
        <v>0</v>
      </c>
      <c r="I15" s="363"/>
      <c r="J15" s="363"/>
      <c r="K15" s="359"/>
    </row>
    <row r="16" spans="1:11" s="360" customFormat="1">
      <c r="A16" s="357" t="s">
        <v>597</v>
      </c>
      <c r="B16" s="358"/>
      <c r="C16" s="358"/>
      <c r="D16" s="358"/>
      <c r="E16" s="358"/>
      <c r="F16" s="358"/>
      <c r="G16" s="358"/>
      <c r="H16" s="358"/>
      <c r="I16" s="358"/>
      <c r="J16" s="358"/>
      <c r="K16" s="359"/>
    </row>
    <row r="17" spans="1:11" s="360" customFormat="1">
      <c r="A17" s="364" t="s">
        <v>598</v>
      </c>
      <c r="B17" s="361">
        <f>'Sources and Uses Budget'!C17</f>
        <v>0</v>
      </c>
      <c r="C17" s="362"/>
      <c r="D17" s="362"/>
      <c r="E17" s="361">
        <f>'Sources and Uses Budget'!S17</f>
        <v>0</v>
      </c>
      <c r="F17" s="362"/>
      <c r="G17" s="362"/>
      <c r="H17" s="361">
        <f>'Sources and Uses Budget'!T17</f>
        <v>0</v>
      </c>
      <c r="I17" s="362"/>
      <c r="J17" s="362"/>
      <c r="K17" s="359"/>
    </row>
    <row r="18" spans="1:11" s="360" customFormat="1">
      <c r="A18" s="364" t="s">
        <v>599</v>
      </c>
      <c r="B18" s="361">
        <f>'Sources and Uses Budget'!C18</f>
        <v>0</v>
      </c>
      <c r="C18" s="362"/>
      <c r="D18" s="362"/>
      <c r="E18" s="361">
        <f>'Sources and Uses Budget'!S18</f>
        <v>0</v>
      </c>
      <c r="F18" s="362"/>
      <c r="G18" s="362"/>
      <c r="H18" s="361">
        <f>'Sources and Uses Budget'!T18</f>
        <v>0</v>
      </c>
      <c r="I18" s="362"/>
      <c r="J18" s="362"/>
      <c r="K18" s="359"/>
    </row>
    <row r="19" spans="1:11" s="360" customFormat="1">
      <c r="A19" s="364" t="s">
        <v>600</v>
      </c>
      <c r="B19" s="361">
        <f>'Sources and Uses Budget'!C19</f>
        <v>0</v>
      </c>
      <c r="C19" s="362"/>
      <c r="D19" s="362"/>
      <c r="E19" s="361">
        <f>'Sources and Uses Budget'!S19</f>
        <v>0</v>
      </c>
      <c r="F19" s="362"/>
      <c r="G19" s="362"/>
      <c r="H19" s="361">
        <f>'Sources and Uses Budget'!T19</f>
        <v>0</v>
      </c>
      <c r="I19" s="362"/>
      <c r="J19" s="362"/>
      <c r="K19" s="359"/>
    </row>
    <row r="20" spans="1:11" s="360" customFormat="1">
      <c r="A20" s="364" t="s">
        <v>137</v>
      </c>
      <c r="B20" s="361">
        <f>'Sources and Uses Budget'!C20</f>
        <v>0</v>
      </c>
      <c r="C20" s="362"/>
      <c r="D20" s="362"/>
      <c r="E20" s="361">
        <f>'Sources and Uses Budget'!S20</f>
        <v>0</v>
      </c>
      <c r="F20" s="362"/>
      <c r="G20" s="362"/>
      <c r="H20" s="361">
        <f>'Sources and Uses Budget'!T20</f>
        <v>0</v>
      </c>
      <c r="I20" s="362"/>
      <c r="J20" s="362"/>
      <c r="K20" s="359"/>
    </row>
    <row r="21" spans="1:11" s="360" customFormat="1">
      <c r="A21" s="364" t="s">
        <v>138</v>
      </c>
      <c r="B21" s="361">
        <f>'Sources and Uses Budget'!C21</f>
        <v>0</v>
      </c>
      <c r="C21" s="362"/>
      <c r="D21" s="362"/>
      <c r="E21" s="361">
        <f>'Sources and Uses Budget'!S21</f>
        <v>0</v>
      </c>
      <c r="F21" s="362"/>
      <c r="G21" s="362"/>
      <c r="H21" s="361">
        <f>'Sources and Uses Budget'!T21</f>
        <v>0</v>
      </c>
      <c r="I21" s="362"/>
      <c r="J21" s="362"/>
      <c r="K21" s="359"/>
    </row>
    <row r="22" spans="1:11" s="360" customFormat="1">
      <c r="A22" s="364" t="s">
        <v>139</v>
      </c>
      <c r="B22" s="361">
        <f>'Sources and Uses Budget'!C22</f>
        <v>0</v>
      </c>
      <c r="C22" s="362"/>
      <c r="D22" s="362"/>
      <c r="E22" s="361">
        <f>'Sources and Uses Budget'!S22</f>
        <v>0</v>
      </c>
      <c r="F22" s="362"/>
      <c r="G22" s="362"/>
      <c r="H22" s="361">
        <f>'Sources and Uses Budget'!T22</f>
        <v>0</v>
      </c>
      <c r="I22" s="362"/>
      <c r="J22" s="362"/>
      <c r="K22" s="359"/>
    </row>
    <row r="23" spans="1:11" s="360" customFormat="1">
      <c r="A23" s="364" t="s">
        <v>140</v>
      </c>
      <c r="B23" s="361">
        <f>'Sources and Uses Budget'!C23</f>
        <v>0</v>
      </c>
      <c r="C23" s="362"/>
      <c r="D23" s="362"/>
      <c r="E23" s="361">
        <f>'Sources and Uses Budget'!S23</f>
        <v>0</v>
      </c>
      <c r="F23" s="362"/>
      <c r="G23" s="362"/>
      <c r="H23" s="361">
        <f>'Sources and Uses Budget'!T23</f>
        <v>0</v>
      </c>
      <c r="I23" s="362"/>
      <c r="J23" s="362"/>
      <c r="K23" s="359"/>
    </row>
    <row r="24" spans="1:11" s="360" customFormat="1">
      <c r="A24" s="508" t="s">
        <v>1629</v>
      </c>
      <c r="B24" s="361">
        <f>'Sources and Uses Budget'!C24</f>
        <v>0</v>
      </c>
      <c r="C24" s="362"/>
      <c r="D24" s="362"/>
      <c r="E24" s="361">
        <f>'Sources and Uses Budget'!S24</f>
        <v>0</v>
      </c>
      <c r="F24" s="362"/>
      <c r="G24" s="362"/>
      <c r="H24" s="361">
        <f>'Sources and Uses Budget'!T24</f>
        <v>0</v>
      </c>
      <c r="I24" s="362"/>
      <c r="J24" s="362"/>
      <c r="K24" s="359"/>
    </row>
    <row r="25" spans="1:11" s="360" customFormat="1">
      <c r="A25" s="364" t="str">
        <f>'Sources and Uses Budget'!$A25</f>
        <v>Other: (Specify)</v>
      </c>
      <c r="B25" s="361">
        <f>'Sources and Uses Budget'!C25</f>
        <v>0</v>
      </c>
      <c r="C25" s="362"/>
      <c r="D25" s="362"/>
      <c r="E25" s="361">
        <f>'Sources and Uses Budget'!S25</f>
        <v>0</v>
      </c>
      <c r="F25" s="362"/>
      <c r="G25" s="362"/>
      <c r="H25" s="361">
        <f>'Sources and Uses Budget'!T25</f>
        <v>0</v>
      </c>
      <c r="I25" s="362"/>
      <c r="J25" s="362"/>
      <c r="K25" s="359"/>
    </row>
    <row r="26" spans="1:11" s="360" customFormat="1">
      <c r="A26" s="365" t="s">
        <v>133</v>
      </c>
      <c r="B26" s="361">
        <f>'Sources and Uses Budget'!C26</f>
        <v>0</v>
      </c>
      <c r="C26" s="361">
        <f>SUM(C17:C25)</f>
        <v>0</v>
      </c>
      <c r="D26" s="361">
        <f>SUM(D17:D25)</f>
        <v>0</v>
      </c>
      <c r="E26" s="361">
        <f>'Sources and Uses Budget'!S26</f>
        <v>0</v>
      </c>
      <c r="F26" s="367">
        <f>SUM(F17:F25)</f>
        <v>0</v>
      </c>
      <c r="G26" s="367">
        <f>SUM(G17:G25)</f>
        <v>0</v>
      </c>
      <c r="H26" s="361">
        <f>'Sources and Uses Budget'!T26</f>
        <v>0</v>
      </c>
      <c r="I26" s="367">
        <f>SUM(I17:I25)</f>
        <v>0</v>
      </c>
      <c r="J26" s="367">
        <f>SUM(J17:J25)</f>
        <v>0</v>
      </c>
      <c r="K26" s="359"/>
    </row>
    <row r="27" spans="1:11" s="360" customFormat="1">
      <c r="A27" s="365" t="s">
        <v>141</v>
      </c>
      <c r="B27" s="361">
        <f>'Sources and Uses Budget'!C27</f>
        <v>0</v>
      </c>
      <c r="C27" s="362"/>
      <c r="D27" s="362"/>
      <c r="E27" s="361">
        <f>'Sources and Uses Budget'!S27</f>
        <v>0</v>
      </c>
      <c r="F27" s="362"/>
      <c r="G27" s="362"/>
      <c r="H27" s="361">
        <f>'Sources and Uses Budget'!T27</f>
        <v>0</v>
      </c>
      <c r="I27" s="362"/>
      <c r="J27" s="362"/>
      <c r="K27" s="359"/>
    </row>
    <row r="28" spans="1:11" s="360" customFormat="1">
      <c r="A28" s="357" t="s">
        <v>142</v>
      </c>
      <c r="B28" s="358"/>
      <c r="C28" s="358"/>
      <c r="D28" s="358"/>
      <c r="E28" s="358"/>
      <c r="F28" s="358"/>
      <c r="G28" s="358"/>
      <c r="H28" s="358"/>
      <c r="I28" s="358"/>
      <c r="J28" s="358"/>
      <c r="K28" s="359"/>
    </row>
    <row r="29" spans="1:11" s="360" customFormat="1">
      <c r="A29" s="145" t="s">
        <v>598</v>
      </c>
      <c r="B29" s="361">
        <f>'Sources and Uses Budget'!C29</f>
        <v>2049795</v>
      </c>
      <c r="C29" s="362">
        <f>B29</f>
        <v>2049795</v>
      </c>
      <c r="D29" s="362"/>
      <c r="E29" s="361">
        <f>'Sources and Uses Budget'!S29</f>
        <v>2049795</v>
      </c>
      <c r="F29" s="362">
        <f>E29</f>
        <v>2049795</v>
      </c>
      <c r="G29" s="362"/>
      <c r="H29" s="361">
        <f>'Sources and Uses Budget'!T29</f>
        <v>0</v>
      </c>
      <c r="I29" s="362"/>
      <c r="J29" s="362"/>
      <c r="K29" s="359"/>
    </row>
    <row r="30" spans="1:11" s="360" customFormat="1">
      <c r="A30" s="145" t="s">
        <v>599</v>
      </c>
      <c r="B30" s="361">
        <f>'Sources and Uses Budget'!C30</f>
        <v>15594023</v>
      </c>
      <c r="C30" s="362">
        <f t="shared" ref="C30:C37" si="0">B30</f>
        <v>15594023</v>
      </c>
      <c r="D30" s="362"/>
      <c r="E30" s="361">
        <f>'Sources and Uses Budget'!S30</f>
        <v>15594023</v>
      </c>
      <c r="F30" s="362">
        <f t="shared" ref="F30:F37" si="1">E30</f>
        <v>15594023</v>
      </c>
      <c r="G30" s="362"/>
      <c r="H30" s="361">
        <f>'Sources and Uses Budget'!T30</f>
        <v>0</v>
      </c>
      <c r="I30" s="362"/>
      <c r="J30" s="362"/>
      <c r="K30" s="359"/>
    </row>
    <row r="31" spans="1:11" s="360" customFormat="1">
      <c r="A31" s="145" t="s">
        <v>600</v>
      </c>
      <c r="B31" s="361">
        <f>'Sources and Uses Budget'!C31</f>
        <v>1122147</v>
      </c>
      <c r="C31" s="362">
        <f t="shared" si="0"/>
        <v>1122147</v>
      </c>
      <c r="D31" s="362"/>
      <c r="E31" s="361">
        <f>'Sources and Uses Budget'!S31</f>
        <v>1122147</v>
      </c>
      <c r="F31" s="362">
        <f t="shared" si="1"/>
        <v>1122147</v>
      </c>
      <c r="G31" s="362"/>
      <c r="H31" s="361">
        <f>'Sources and Uses Budget'!T31</f>
        <v>0</v>
      </c>
      <c r="I31" s="362"/>
      <c r="J31" s="362"/>
      <c r="K31" s="359"/>
    </row>
    <row r="32" spans="1:11" s="360" customFormat="1">
      <c r="A32" s="145" t="s">
        <v>137</v>
      </c>
      <c r="B32" s="361">
        <f>'Sources and Uses Budget'!C32</f>
        <v>374049</v>
      </c>
      <c r="C32" s="362">
        <f t="shared" si="0"/>
        <v>374049</v>
      </c>
      <c r="D32" s="362"/>
      <c r="E32" s="361">
        <f>'Sources and Uses Budget'!S32</f>
        <v>374049</v>
      </c>
      <c r="F32" s="362">
        <f t="shared" si="1"/>
        <v>374049</v>
      </c>
      <c r="G32" s="362"/>
      <c r="H32" s="361">
        <f>'Sources and Uses Budget'!T32</f>
        <v>0</v>
      </c>
      <c r="I32" s="362"/>
      <c r="J32" s="362"/>
      <c r="K32" s="359"/>
    </row>
    <row r="33" spans="1:11" s="360" customFormat="1">
      <c r="A33" s="145" t="s">
        <v>138</v>
      </c>
      <c r="B33" s="361">
        <f>'Sources and Uses Budget'!C33</f>
        <v>1122147</v>
      </c>
      <c r="C33" s="362">
        <f t="shared" si="0"/>
        <v>1122147</v>
      </c>
      <c r="D33" s="362"/>
      <c r="E33" s="361">
        <f>'Sources and Uses Budget'!S33</f>
        <v>1122147</v>
      </c>
      <c r="F33" s="362">
        <f t="shared" si="1"/>
        <v>1122147</v>
      </c>
      <c r="G33" s="362"/>
      <c r="H33" s="361">
        <f>'Sources and Uses Budget'!T33</f>
        <v>0</v>
      </c>
      <c r="I33" s="362"/>
      <c r="J33" s="362"/>
      <c r="K33" s="359"/>
    </row>
    <row r="34" spans="1:11" s="360" customFormat="1">
      <c r="A34" s="145" t="s">
        <v>139</v>
      </c>
      <c r="B34" s="361">
        <f>'Sources and Uses Budget'!C34</f>
        <v>0</v>
      </c>
      <c r="C34" s="362">
        <f t="shared" si="0"/>
        <v>0</v>
      </c>
      <c r="D34" s="362"/>
      <c r="E34" s="361">
        <f>'Sources and Uses Budget'!S34</f>
        <v>0</v>
      </c>
      <c r="F34" s="362">
        <f t="shared" si="1"/>
        <v>0</v>
      </c>
      <c r="G34" s="362"/>
      <c r="H34" s="361">
        <f>'Sources and Uses Budget'!T34</f>
        <v>0</v>
      </c>
      <c r="I34" s="362"/>
      <c r="J34" s="362"/>
      <c r="K34" s="359"/>
    </row>
    <row r="35" spans="1:11" s="360" customFormat="1">
      <c r="A35" s="145" t="s">
        <v>140</v>
      </c>
      <c r="B35" s="361">
        <f>'Sources and Uses Budget'!C35</f>
        <v>450000</v>
      </c>
      <c r="C35" s="362">
        <f t="shared" si="0"/>
        <v>450000</v>
      </c>
      <c r="D35" s="362"/>
      <c r="E35" s="361">
        <f>'Sources and Uses Budget'!S35</f>
        <v>450000</v>
      </c>
      <c r="F35" s="362">
        <f t="shared" si="1"/>
        <v>450000</v>
      </c>
      <c r="G35" s="362"/>
      <c r="H35" s="361">
        <f>'Sources and Uses Budget'!T35</f>
        <v>0</v>
      </c>
      <c r="I35" s="362"/>
      <c r="J35" s="362"/>
      <c r="K35" s="359"/>
    </row>
    <row r="36" spans="1:11" s="360" customFormat="1">
      <c r="A36" s="508" t="s">
        <v>1629</v>
      </c>
      <c r="B36" s="361">
        <f>'Sources and Uses Budget'!C36</f>
        <v>0</v>
      </c>
      <c r="C36" s="362">
        <f t="shared" si="0"/>
        <v>0</v>
      </c>
      <c r="D36" s="362"/>
      <c r="E36" s="361">
        <f>'Sources and Uses Budget'!S36</f>
        <v>0</v>
      </c>
      <c r="F36" s="362">
        <f t="shared" si="1"/>
        <v>0</v>
      </c>
      <c r="G36" s="362"/>
      <c r="H36" s="361">
        <f>'Sources and Uses Budget'!T36</f>
        <v>0</v>
      </c>
      <c r="I36" s="362"/>
      <c r="J36" s="362"/>
      <c r="K36" s="359"/>
    </row>
    <row r="37" spans="1:11" s="360" customFormat="1">
      <c r="A37" s="364" t="str">
        <f>'Sources and Uses Budget'!$A37</f>
        <v>Other: (Specify)</v>
      </c>
      <c r="B37" s="361">
        <f>'Sources and Uses Budget'!C37</f>
        <v>0</v>
      </c>
      <c r="C37" s="362">
        <f t="shared" si="0"/>
        <v>0</v>
      </c>
      <c r="D37" s="362"/>
      <c r="E37" s="361">
        <f>'Sources and Uses Budget'!S37</f>
        <v>0</v>
      </c>
      <c r="F37" s="362">
        <f t="shared" si="1"/>
        <v>0</v>
      </c>
      <c r="G37" s="362"/>
      <c r="H37" s="361">
        <f>'Sources and Uses Budget'!T37</f>
        <v>0</v>
      </c>
      <c r="I37" s="362"/>
      <c r="J37" s="362"/>
      <c r="K37" s="359"/>
    </row>
    <row r="38" spans="1:11" s="360" customFormat="1">
      <c r="A38" s="365" t="s">
        <v>143</v>
      </c>
      <c r="B38" s="361">
        <f>'Sources and Uses Budget'!C38</f>
        <v>20712161</v>
      </c>
      <c r="C38" s="361">
        <f>SUM(C29:C37)</f>
        <v>20712161</v>
      </c>
      <c r="D38" s="361">
        <f>SUM(D29:D37)</f>
        <v>0</v>
      </c>
      <c r="E38" s="361">
        <f>'Sources and Uses Budget'!S38</f>
        <v>20712161</v>
      </c>
      <c r="F38" s="367">
        <f>SUM(F29:F37)</f>
        <v>20712161</v>
      </c>
      <c r="G38" s="367">
        <f>SUM(G29:G37)</f>
        <v>0</v>
      </c>
      <c r="H38" s="361">
        <f>'Sources and Uses Budget'!T38</f>
        <v>0</v>
      </c>
      <c r="I38" s="367">
        <f>SUM(I29:I37)</f>
        <v>0</v>
      </c>
      <c r="J38" s="367">
        <f>SUM(J29:J37)</f>
        <v>0</v>
      </c>
      <c r="K38" s="359"/>
    </row>
    <row r="39" spans="1:11" s="360" customFormat="1">
      <c r="A39" s="357" t="s">
        <v>144</v>
      </c>
      <c r="B39" s="358"/>
      <c r="C39" s="358"/>
      <c r="D39" s="358"/>
      <c r="E39" s="358"/>
      <c r="F39" s="358"/>
      <c r="G39" s="358"/>
      <c r="H39" s="358"/>
      <c r="I39" s="358"/>
      <c r="J39" s="358"/>
      <c r="K39" s="359"/>
    </row>
    <row r="40" spans="1:11" s="360" customFormat="1">
      <c r="A40" s="364" t="s">
        <v>145</v>
      </c>
      <c r="B40" s="361">
        <f>'Sources and Uses Budget'!C40</f>
        <v>405243</v>
      </c>
      <c r="C40" s="362">
        <f>B40</f>
        <v>405243</v>
      </c>
      <c r="D40" s="362"/>
      <c r="E40" s="361">
        <f>'Sources and Uses Budget'!S40</f>
        <v>405243</v>
      </c>
      <c r="F40" s="362">
        <f>E40</f>
        <v>405243</v>
      </c>
      <c r="G40" s="362"/>
      <c r="H40" s="361">
        <f>'Sources and Uses Budget'!T40</f>
        <v>0</v>
      </c>
      <c r="I40" s="362"/>
      <c r="J40" s="362"/>
      <c r="K40" s="359"/>
    </row>
    <row r="41" spans="1:11" s="360" customFormat="1">
      <c r="A41" s="364" t="s">
        <v>146</v>
      </c>
      <c r="B41" s="361">
        <f>'Sources and Uses Budget'!C41</f>
        <v>405243</v>
      </c>
      <c r="C41" s="362">
        <f>B41</f>
        <v>405243</v>
      </c>
      <c r="D41" s="362"/>
      <c r="E41" s="361">
        <f>'Sources and Uses Budget'!S41</f>
        <v>405243</v>
      </c>
      <c r="F41" s="362">
        <f>E41</f>
        <v>405243</v>
      </c>
      <c r="G41" s="362"/>
      <c r="H41" s="361">
        <f>'Sources and Uses Budget'!T41</f>
        <v>0</v>
      </c>
      <c r="I41" s="362"/>
      <c r="J41" s="362"/>
      <c r="K41" s="359"/>
    </row>
    <row r="42" spans="1:11" s="360" customFormat="1">
      <c r="A42" s="365" t="s">
        <v>147</v>
      </c>
      <c r="B42" s="361">
        <f>'Sources and Uses Budget'!C42</f>
        <v>810486</v>
      </c>
      <c r="C42" s="361">
        <f>SUM(C39:C41)</f>
        <v>810486</v>
      </c>
      <c r="D42" s="361">
        <f>SUM(D39:D41)</f>
        <v>0</v>
      </c>
      <c r="E42" s="361">
        <f>'Sources and Uses Budget'!S42</f>
        <v>810486</v>
      </c>
      <c r="F42" s="367">
        <f>SUM(F40:F41)</f>
        <v>810486</v>
      </c>
      <c r="G42" s="367">
        <f>SUM(G40:G41)</f>
        <v>0</v>
      </c>
      <c r="H42" s="361">
        <f>'Sources and Uses Budget'!T42</f>
        <v>0</v>
      </c>
      <c r="I42" s="367">
        <f>SUM(I40:I41)</f>
        <v>0</v>
      </c>
      <c r="J42" s="367">
        <f>SUM(J40:J41)</f>
        <v>0</v>
      </c>
      <c r="K42" s="359"/>
    </row>
    <row r="43" spans="1:11" s="360" customFormat="1">
      <c r="A43" s="365" t="s">
        <v>148</v>
      </c>
      <c r="B43" s="361">
        <f>'Sources and Uses Budget'!C43</f>
        <v>250000</v>
      </c>
      <c r="C43" s="362">
        <f>B43</f>
        <v>250000</v>
      </c>
      <c r="D43" s="362"/>
      <c r="E43" s="361">
        <f>'Sources and Uses Budget'!S43</f>
        <v>250000</v>
      </c>
      <c r="F43" s="362">
        <f>E43</f>
        <v>250000</v>
      </c>
      <c r="G43" s="362"/>
      <c r="H43" s="361">
        <f>'Sources and Uses Budget'!T43</f>
        <v>0</v>
      </c>
      <c r="I43" s="362"/>
      <c r="J43" s="362"/>
      <c r="K43" s="359"/>
    </row>
    <row r="44" spans="1:11" s="360" customFormat="1">
      <c r="A44" s="357" t="s">
        <v>149</v>
      </c>
      <c r="B44" s="358"/>
      <c r="C44" s="358"/>
      <c r="D44" s="358"/>
      <c r="E44" s="358"/>
      <c r="F44" s="358"/>
      <c r="G44" s="358"/>
      <c r="H44" s="358"/>
      <c r="I44" s="358"/>
      <c r="J44" s="358"/>
      <c r="K44" s="359"/>
    </row>
    <row r="45" spans="1:11" s="360" customFormat="1">
      <c r="A45" s="364" t="s">
        <v>150</v>
      </c>
      <c r="B45" s="361">
        <f>'Sources and Uses Budget'!C45</f>
        <v>974000</v>
      </c>
      <c r="C45" s="362">
        <f>B45</f>
        <v>974000</v>
      </c>
      <c r="D45" s="362"/>
      <c r="E45" s="361">
        <f>'Sources and Uses Budget'!S45</f>
        <v>974000</v>
      </c>
      <c r="F45" s="362">
        <f>E45</f>
        <v>974000</v>
      </c>
      <c r="G45" s="362"/>
      <c r="H45" s="361">
        <f>'Sources and Uses Budget'!T45</f>
        <v>0</v>
      </c>
      <c r="I45" s="362"/>
      <c r="J45" s="362"/>
      <c r="K45" s="359"/>
    </row>
    <row r="46" spans="1:11" s="360" customFormat="1">
      <c r="A46" s="364" t="s">
        <v>151</v>
      </c>
      <c r="B46" s="361">
        <f>'Sources and Uses Budget'!C46</f>
        <v>265615</v>
      </c>
      <c r="C46" s="362">
        <f t="shared" ref="C46:C53" si="2">B46</f>
        <v>265615</v>
      </c>
      <c r="D46" s="362"/>
      <c r="E46" s="361">
        <f>'Sources and Uses Budget'!S46</f>
        <v>265615</v>
      </c>
      <c r="F46" s="362">
        <f t="shared" ref="F46:F53" si="3">E46</f>
        <v>265615</v>
      </c>
      <c r="G46" s="362"/>
      <c r="H46" s="361">
        <f>'Sources and Uses Budget'!T46</f>
        <v>0</v>
      </c>
      <c r="I46" s="362"/>
      <c r="J46" s="362"/>
      <c r="K46" s="359"/>
    </row>
    <row r="47" spans="1:11" s="360" customFormat="1" ht="12" customHeight="1">
      <c r="A47" s="364" t="s">
        <v>152</v>
      </c>
      <c r="B47" s="361">
        <f>'Sources and Uses Budget'!C47</f>
        <v>35000</v>
      </c>
      <c r="C47" s="362">
        <f t="shared" si="2"/>
        <v>35000</v>
      </c>
      <c r="D47" s="362"/>
      <c r="E47" s="361">
        <f>'Sources and Uses Budget'!S47</f>
        <v>35000</v>
      </c>
      <c r="F47" s="362">
        <f t="shared" si="3"/>
        <v>35000</v>
      </c>
      <c r="G47" s="362"/>
      <c r="H47" s="361">
        <f>'Sources and Uses Budget'!T47</f>
        <v>0</v>
      </c>
      <c r="I47" s="362"/>
      <c r="J47" s="362"/>
      <c r="K47" s="359"/>
    </row>
    <row r="48" spans="1:11" s="360" customFormat="1">
      <c r="A48" s="364" t="s">
        <v>153</v>
      </c>
      <c r="B48" s="361">
        <f>'Sources and Uses Budget'!C48</f>
        <v>0</v>
      </c>
      <c r="C48" s="362">
        <f t="shared" si="2"/>
        <v>0</v>
      </c>
      <c r="D48" s="362"/>
      <c r="E48" s="361">
        <f>'Sources and Uses Budget'!S48</f>
        <v>0</v>
      </c>
      <c r="F48" s="362">
        <f t="shared" si="3"/>
        <v>0</v>
      </c>
      <c r="G48" s="362"/>
      <c r="H48" s="361">
        <f>'Sources and Uses Budget'!T48</f>
        <v>0</v>
      </c>
      <c r="I48" s="362"/>
      <c r="J48" s="362"/>
      <c r="K48" s="359"/>
    </row>
    <row r="49" spans="1:11" s="360" customFormat="1">
      <c r="A49" s="283" t="s">
        <v>57</v>
      </c>
      <c r="B49" s="361">
        <f>'Sources and Uses Budget'!C49</f>
        <v>188358</v>
      </c>
      <c r="C49" s="362">
        <f t="shared" si="2"/>
        <v>188358</v>
      </c>
      <c r="D49" s="362"/>
      <c r="E49" s="361">
        <f>'Sources and Uses Budget'!S49</f>
        <v>0</v>
      </c>
      <c r="F49" s="362">
        <f t="shared" si="3"/>
        <v>0</v>
      </c>
      <c r="G49" s="362"/>
      <c r="H49" s="361">
        <f>'Sources and Uses Budget'!T49</f>
        <v>0</v>
      </c>
      <c r="I49" s="362"/>
      <c r="J49" s="362"/>
      <c r="K49" s="359"/>
    </row>
    <row r="50" spans="1:11" s="360" customFormat="1">
      <c r="A50" s="364" t="s">
        <v>156</v>
      </c>
      <c r="B50" s="361">
        <f>'Sources and Uses Budget'!C50</f>
        <v>40000</v>
      </c>
      <c r="C50" s="362">
        <f t="shared" si="2"/>
        <v>40000</v>
      </c>
      <c r="D50" s="362"/>
      <c r="E50" s="361">
        <f>'Sources and Uses Budget'!S50</f>
        <v>40000</v>
      </c>
      <c r="F50" s="362">
        <f t="shared" si="3"/>
        <v>40000</v>
      </c>
      <c r="G50" s="362"/>
      <c r="H50" s="361">
        <f>'Sources and Uses Budget'!T50</f>
        <v>0</v>
      </c>
      <c r="I50" s="362"/>
      <c r="J50" s="362"/>
      <c r="K50" s="359"/>
    </row>
    <row r="51" spans="1:11" s="360" customFormat="1">
      <c r="A51" s="364" t="s">
        <v>154</v>
      </c>
      <c r="B51" s="361">
        <f>'Sources and Uses Budget'!C51</f>
        <v>53217</v>
      </c>
      <c r="C51" s="362">
        <f t="shared" si="2"/>
        <v>53217</v>
      </c>
      <c r="D51" s="362"/>
      <c r="E51" s="361">
        <f>'Sources and Uses Budget'!S51</f>
        <v>53217</v>
      </c>
      <c r="F51" s="362">
        <f t="shared" si="3"/>
        <v>53217</v>
      </c>
      <c r="G51" s="362"/>
      <c r="H51" s="361">
        <f>'Sources and Uses Budget'!T51</f>
        <v>0</v>
      </c>
      <c r="I51" s="362"/>
      <c r="J51" s="362"/>
      <c r="K51" s="359"/>
    </row>
    <row r="52" spans="1:11" s="360" customFormat="1">
      <c r="A52" s="364" t="s">
        <v>155</v>
      </c>
      <c r="B52" s="361">
        <f>'Sources and Uses Budget'!C52</f>
        <v>0</v>
      </c>
      <c r="C52" s="362">
        <f t="shared" si="2"/>
        <v>0</v>
      </c>
      <c r="D52" s="362"/>
      <c r="E52" s="361">
        <f>'Sources and Uses Budget'!S52</f>
        <v>0</v>
      </c>
      <c r="F52" s="362">
        <f t="shared" si="3"/>
        <v>0</v>
      </c>
      <c r="G52" s="362"/>
      <c r="H52" s="361">
        <f>'Sources and Uses Budget'!T52</f>
        <v>0</v>
      </c>
      <c r="I52" s="362"/>
      <c r="J52" s="362"/>
      <c r="K52" s="359"/>
    </row>
    <row r="53" spans="1:11" s="360" customFormat="1">
      <c r="A53" s="364" t="str">
        <f>'Sources and Uses Budget'!$A53</f>
        <v>Inspection Fees</v>
      </c>
      <c r="B53" s="361">
        <f>'Sources and Uses Budget'!C53</f>
        <v>20000</v>
      </c>
      <c r="C53" s="362">
        <f t="shared" si="2"/>
        <v>20000</v>
      </c>
      <c r="D53" s="362"/>
      <c r="E53" s="361">
        <f>'Sources and Uses Budget'!S53</f>
        <v>20000</v>
      </c>
      <c r="F53" s="362">
        <f t="shared" si="3"/>
        <v>20000</v>
      </c>
      <c r="G53" s="362"/>
      <c r="H53" s="361">
        <f>'Sources and Uses Budget'!T53</f>
        <v>0</v>
      </c>
      <c r="I53" s="362"/>
      <c r="J53" s="362"/>
      <c r="K53" s="359"/>
    </row>
    <row r="54" spans="1:11" s="369" customFormat="1">
      <c r="A54" s="365" t="s">
        <v>157</v>
      </c>
      <c r="B54" s="361">
        <f>'Sources and Uses Budget'!C54</f>
        <v>1576190</v>
      </c>
      <c r="C54" s="367">
        <f>SUM(C45:C53)</f>
        <v>1576190</v>
      </c>
      <c r="D54" s="367">
        <f>SUM(D45:D53)</f>
        <v>0</v>
      </c>
      <c r="E54" s="361">
        <f>'Sources and Uses Budget'!S54</f>
        <v>1387832</v>
      </c>
      <c r="F54" s="367">
        <f>SUM(F45:F53)</f>
        <v>1387832</v>
      </c>
      <c r="G54" s="367">
        <f>SUM(G45:G53)</f>
        <v>0</v>
      </c>
      <c r="H54" s="361">
        <f>'Sources and Uses Budget'!T54</f>
        <v>0</v>
      </c>
      <c r="I54" s="367">
        <f>SUM(I45:I53)</f>
        <v>0</v>
      </c>
      <c r="J54" s="367">
        <f>SUM(J45:J53)</f>
        <v>0</v>
      </c>
      <c r="K54" s="368"/>
    </row>
    <row r="55" spans="1:11" s="360" customFormat="1">
      <c r="A55" s="357" t="s">
        <v>418</v>
      </c>
      <c r="B55" s="358"/>
      <c r="C55" s="358"/>
      <c r="D55" s="358"/>
      <c r="E55" s="358"/>
      <c r="F55" s="358"/>
      <c r="G55" s="358"/>
      <c r="H55" s="358"/>
      <c r="I55" s="358"/>
      <c r="J55" s="358"/>
      <c r="K55" s="359"/>
    </row>
    <row r="56" spans="1:11" s="360" customFormat="1">
      <c r="A56" s="364" t="s">
        <v>158</v>
      </c>
      <c r="B56" s="361">
        <f>'Sources and Uses Budget'!C56</f>
        <v>0</v>
      </c>
      <c r="C56" s="362">
        <f>B56</f>
        <v>0</v>
      </c>
      <c r="D56" s="362"/>
      <c r="E56" s="363"/>
      <c r="F56" s="363"/>
      <c r="G56" s="363"/>
      <c r="H56" s="363"/>
      <c r="I56" s="363"/>
      <c r="J56" s="363"/>
      <c r="K56" s="359"/>
    </row>
    <row r="57" spans="1:11" s="360" customFormat="1" ht="12" customHeight="1">
      <c r="A57" s="364" t="s">
        <v>152</v>
      </c>
      <c r="B57" s="361">
        <f>'Sources and Uses Budget'!C57</f>
        <v>10000</v>
      </c>
      <c r="C57" s="362">
        <f t="shared" ref="C57:C61" si="4">B57</f>
        <v>10000</v>
      </c>
      <c r="D57" s="362"/>
      <c r="E57" s="363"/>
      <c r="F57" s="363"/>
      <c r="G57" s="363"/>
      <c r="H57" s="363"/>
      <c r="I57" s="363"/>
      <c r="J57" s="363"/>
      <c r="K57" s="359"/>
    </row>
    <row r="58" spans="1:11" s="360" customFormat="1">
      <c r="A58" s="364" t="s">
        <v>156</v>
      </c>
      <c r="B58" s="361">
        <f>'Sources and Uses Budget'!C58</f>
        <v>5000</v>
      </c>
      <c r="C58" s="362">
        <f t="shared" si="4"/>
        <v>5000</v>
      </c>
      <c r="D58" s="362"/>
      <c r="E58" s="363"/>
      <c r="F58" s="363"/>
      <c r="G58" s="363"/>
      <c r="H58" s="363"/>
      <c r="I58" s="363"/>
      <c r="J58" s="363"/>
      <c r="K58" s="359"/>
    </row>
    <row r="59" spans="1:11" s="360" customFormat="1">
      <c r="A59" s="364" t="s">
        <v>154</v>
      </c>
      <c r="B59" s="361">
        <f>'Sources and Uses Budget'!C59</f>
        <v>0</v>
      </c>
      <c r="C59" s="362">
        <f t="shared" si="4"/>
        <v>0</v>
      </c>
      <c r="D59" s="362"/>
      <c r="E59" s="363"/>
      <c r="F59" s="363"/>
      <c r="G59" s="363"/>
      <c r="H59" s="363"/>
      <c r="I59" s="363"/>
      <c r="J59" s="363"/>
      <c r="K59" s="359"/>
    </row>
    <row r="60" spans="1:11" s="360" customFormat="1">
      <c r="A60" s="364" t="s">
        <v>155</v>
      </c>
      <c r="B60" s="361">
        <f>'Sources and Uses Budget'!C60</f>
        <v>0</v>
      </c>
      <c r="C60" s="362">
        <f t="shared" si="4"/>
        <v>0</v>
      </c>
      <c r="D60" s="362"/>
      <c r="E60" s="363"/>
      <c r="F60" s="363"/>
      <c r="G60" s="363"/>
      <c r="H60" s="363"/>
      <c r="I60" s="363"/>
      <c r="J60" s="363"/>
      <c r="K60" s="359"/>
    </row>
    <row r="61" spans="1:11" s="360" customFormat="1">
      <c r="A61" s="364" t="str">
        <f>'Sources and Uses Budget'!$A61</f>
        <v>Other: (Specify)</v>
      </c>
      <c r="B61" s="361">
        <f>'Sources and Uses Budget'!C61</f>
        <v>0</v>
      </c>
      <c r="C61" s="362">
        <f t="shared" si="4"/>
        <v>0</v>
      </c>
      <c r="D61" s="362"/>
      <c r="E61" s="363"/>
      <c r="F61" s="363"/>
      <c r="G61" s="363"/>
      <c r="H61" s="363"/>
      <c r="I61" s="363"/>
      <c r="J61" s="363"/>
      <c r="K61" s="359"/>
    </row>
    <row r="62" spans="1:11" s="360" customFormat="1" ht="13.7" customHeight="1">
      <c r="A62" s="365" t="s">
        <v>301</v>
      </c>
      <c r="B62" s="361">
        <f>'Sources and Uses Budget'!C62</f>
        <v>15000</v>
      </c>
      <c r="C62" s="361">
        <f>SUM(C56:C61)</f>
        <v>15000</v>
      </c>
      <c r="D62" s="361">
        <f>SUM(D56:D61)</f>
        <v>0</v>
      </c>
      <c r="E62" s="363"/>
      <c r="F62" s="363"/>
      <c r="G62" s="363"/>
      <c r="H62" s="363"/>
      <c r="I62" s="363"/>
      <c r="J62" s="363"/>
      <c r="K62" s="359"/>
    </row>
    <row r="63" spans="1:11" s="360" customFormat="1">
      <c r="A63" s="370" t="s">
        <v>302</v>
      </c>
      <c r="B63" s="361">
        <f>'Sources and Uses Budget'!C63</f>
        <v>26024704</v>
      </c>
      <c r="C63" s="361">
        <f>SUM(C8+C11+C13+C14+C15+C26+C27+C38+C42+C43+C54+C62)</f>
        <v>26024704</v>
      </c>
      <c r="D63" s="361">
        <f>SUM(D8+D11+D13+D14+D15+D26+D27+D38+D42+D43+D54+D62)</f>
        <v>0</v>
      </c>
      <c r="E63" s="361">
        <f>'Sources and Uses Budget'!S63</f>
        <v>23160479</v>
      </c>
      <c r="F63" s="361">
        <f>SUM(F10+F13+F14+F15+F26+F27+F38+F42+F43+F54)</f>
        <v>23160479</v>
      </c>
      <c r="G63" s="361">
        <f>SUM(G10+G13+G14+G15+G26+G27+G38+G42+G43+G54)</f>
        <v>0</v>
      </c>
      <c r="H63" s="361">
        <f>'Sources and Uses Budget'!T63</f>
        <v>0</v>
      </c>
      <c r="I63" s="361">
        <f>SUM(I11+I13+I14+I15+I26+I27+I38+I42+I43+I54)</f>
        <v>0</v>
      </c>
      <c r="J63" s="361">
        <f>SUM(J11+J13+J14+J15+J26+J27+J38+J42+J43+J54)</f>
        <v>0</v>
      </c>
      <c r="K63" s="359"/>
    </row>
    <row r="64" spans="1:11" s="360" customFormat="1" ht="24">
      <c r="A64" s="141" t="s">
        <v>1633</v>
      </c>
      <c r="B64" s="358"/>
      <c r="C64" s="358"/>
      <c r="D64" s="358"/>
      <c r="E64" s="358"/>
      <c r="F64" s="358"/>
      <c r="G64" s="358"/>
      <c r="H64" s="358"/>
      <c r="I64" s="358"/>
      <c r="J64" s="358"/>
      <c r="K64" s="359"/>
    </row>
    <row r="65" spans="1:11" s="360" customFormat="1">
      <c r="A65" s="145" t="s">
        <v>171</v>
      </c>
      <c r="B65" s="361">
        <f>'Sources and Uses Budget'!C65</f>
        <v>65000</v>
      </c>
      <c r="C65" s="362">
        <f>B65</f>
        <v>65000</v>
      </c>
      <c r="D65" s="362"/>
      <c r="E65" s="361">
        <f>'Sources and Uses Budget'!S65</f>
        <v>65000</v>
      </c>
      <c r="F65" s="362">
        <f>E65</f>
        <v>65000</v>
      </c>
      <c r="G65" s="362"/>
      <c r="H65" s="361">
        <f>'Sources and Uses Budget'!T65</f>
        <v>0</v>
      </c>
      <c r="I65" s="362"/>
      <c r="J65" s="362"/>
      <c r="K65" s="359"/>
    </row>
    <row r="66" spans="1:11" s="360" customFormat="1" ht="24">
      <c r="A66" s="283" t="s">
        <v>1630</v>
      </c>
      <c r="B66" s="361">
        <f>'Sources and Uses Budget'!C66</f>
        <v>0</v>
      </c>
      <c r="C66" s="362">
        <f t="shared" ref="C66:C69" si="5">B66</f>
        <v>0</v>
      </c>
      <c r="D66" s="362"/>
      <c r="E66" s="361">
        <f>'Sources and Uses Budget'!S66</f>
        <v>0</v>
      </c>
      <c r="F66" s="362">
        <f t="shared" ref="F66:F69" si="6">E66</f>
        <v>0</v>
      </c>
      <c r="G66" s="362"/>
      <c r="H66" s="361">
        <f>'Sources and Uses Budget'!T66</f>
        <v>0</v>
      </c>
      <c r="I66" s="362"/>
      <c r="J66" s="362"/>
      <c r="K66" s="359"/>
    </row>
    <row r="67" spans="1:11" s="360" customFormat="1" ht="24">
      <c r="A67" s="283" t="s">
        <v>1631</v>
      </c>
      <c r="B67" s="361">
        <f>'Sources and Uses Budget'!C67</f>
        <v>0</v>
      </c>
      <c r="C67" s="362">
        <f t="shared" si="5"/>
        <v>0</v>
      </c>
      <c r="D67" s="362"/>
      <c r="E67" s="361">
        <f>'Sources and Uses Budget'!S67</f>
        <v>0</v>
      </c>
      <c r="F67" s="362">
        <f t="shared" si="6"/>
        <v>0</v>
      </c>
      <c r="G67" s="362"/>
      <c r="H67" s="361">
        <f>'Sources and Uses Budget'!T67</f>
        <v>0</v>
      </c>
      <c r="I67" s="362"/>
      <c r="J67" s="362"/>
      <c r="K67" s="359"/>
    </row>
    <row r="68" spans="1:11" s="360" customFormat="1">
      <c r="A68" s="283" t="s">
        <v>1637</v>
      </c>
      <c r="B68" s="361">
        <f>'Sources and Uses Budget'!C68</f>
        <v>0</v>
      </c>
      <c r="C68" s="362">
        <f t="shared" si="5"/>
        <v>0</v>
      </c>
      <c r="D68" s="362"/>
      <c r="E68" s="361">
        <f>'Sources and Uses Budget'!S68</f>
        <v>0</v>
      </c>
      <c r="F68" s="362">
        <f t="shared" si="6"/>
        <v>0</v>
      </c>
      <c r="G68" s="362"/>
      <c r="H68" s="361">
        <f>'Sources and Uses Budget'!T68</f>
        <v>0</v>
      </c>
      <c r="I68" s="362"/>
      <c r="J68" s="362"/>
      <c r="K68" s="359"/>
    </row>
    <row r="69" spans="1:11" s="360" customFormat="1">
      <c r="A69" s="364" t="str">
        <f>'Sources and Uses Budget'!$A69</f>
        <v>Borrower's Attorney</v>
      </c>
      <c r="B69" s="361">
        <f>'Sources and Uses Budget'!C69</f>
        <v>50000</v>
      </c>
      <c r="C69" s="362">
        <f t="shared" si="5"/>
        <v>50000</v>
      </c>
      <c r="D69" s="362"/>
      <c r="E69" s="361">
        <f>'Sources and Uses Budget'!S69</f>
        <v>50000</v>
      </c>
      <c r="F69" s="362">
        <f t="shared" si="6"/>
        <v>50000</v>
      </c>
      <c r="G69" s="362"/>
      <c r="H69" s="361">
        <f>'Sources and Uses Budget'!T69</f>
        <v>0</v>
      </c>
      <c r="I69" s="362"/>
      <c r="J69" s="362"/>
      <c r="K69" s="359"/>
    </row>
    <row r="70" spans="1:11" s="360" customFormat="1">
      <c r="A70" s="365" t="s">
        <v>601</v>
      </c>
      <c r="B70" s="361">
        <f>'Sources and Uses Budget'!C70</f>
        <v>115000</v>
      </c>
      <c r="C70" s="361">
        <f>SUM(C64:C69)</f>
        <v>115000</v>
      </c>
      <c r="D70" s="361">
        <f>SUM(D64:D69)</f>
        <v>0</v>
      </c>
      <c r="E70" s="361">
        <f>'Sources and Uses Budget'!S70</f>
        <v>115000</v>
      </c>
      <c r="F70" s="367">
        <f>SUM(F65:F69)</f>
        <v>115000</v>
      </c>
      <c r="G70" s="367">
        <f>SUM(G65:G69)</f>
        <v>0</v>
      </c>
      <c r="H70" s="361">
        <f>'Sources and Uses Budget'!T70</f>
        <v>0</v>
      </c>
      <c r="I70" s="367">
        <f>SUM(I65:I69)</f>
        <v>0</v>
      </c>
      <c r="J70" s="367">
        <f>SUM(J65:J69)</f>
        <v>0</v>
      </c>
      <c r="K70" s="359"/>
    </row>
    <row r="71" spans="1:11" s="360" customFormat="1">
      <c r="A71" s="357" t="s">
        <v>602</v>
      </c>
      <c r="B71" s="358"/>
      <c r="C71" s="358"/>
      <c r="D71" s="358"/>
      <c r="E71" s="358"/>
      <c r="F71" s="358"/>
      <c r="G71" s="358"/>
      <c r="H71" s="358"/>
      <c r="I71" s="358"/>
      <c r="J71" s="358"/>
      <c r="K71" s="359"/>
    </row>
    <row r="72" spans="1:11" s="360" customFormat="1">
      <c r="A72" s="364" t="s">
        <v>603</v>
      </c>
      <c r="B72" s="361">
        <f>'Sources and Uses Budget'!C72</f>
        <v>30000</v>
      </c>
      <c r="C72" s="362">
        <f>B72</f>
        <v>30000</v>
      </c>
      <c r="D72" s="362"/>
      <c r="E72" s="363"/>
      <c r="F72" s="363"/>
      <c r="G72" s="363"/>
      <c r="H72" s="363"/>
      <c r="I72" s="363"/>
      <c r="J72" s="363"/>
      <c r="K72" s="359"/>
    </row>
    <row r="73" spans="1:11" s="360" customFormat="1">
      <c r="A73" s="364" t="s">
        <v>604</v>
      </c>
      <c r="B73" s="361">
        <f>'Sources and Uses Budget'!C73</f>
        <v>0</v>
      </c>
      <c r="C73" s="362">
        <f t="shared" ref="C73:C76" si="7">B73</f>
        <v>0</v>
      </c>
      <c r="D73" s="362"/>
      <c r="E73" s="363"/>
      <c r="F73" s="363"/>
      <c r="G73" s="363"/>
      <c r="H73" s="363"/>
      <c r="I73" s="363"/>
      <c r="J73" s="363"/>
      <c r="K73" s="359"/>
    </row>
    <row r="74" spans="1:11" s="360" customFormat="1">
      <c r="A74" s="366" t="s">
        <v>986</v>
      </c>
      <c r="B74" s="361">
        <f>'Sources and Uses Budget'!C74</f>
        <v>0</v>
      </c>
      <c r="C74" s="362">
        <f t="shared" si="7"/>
        <v>0</v>
      </c>
      <c r="D74" s="362"/>
      <c r="E74" s="363"/>
      <c r="F74" s="363"/>
      <c r="G74" s="363"/>
      <c r="H74" s="363"/>
      <c r="I74" s="363"/>
      <c r="J74" s="363"/>
      <c r="K74" s="359"/>
    </row>
    <row r="75" spans="1:11" s="360" customFormat="1">
      <c r="A75" s="364" t="s">
        <v>605</v>
      </c>
      <c r="B75" s="361">
        <f>'Sources and Uses Budget'!C75</f>
        <v>222868</v>
      </c>
      <c r="C75" s="362">
        <f t="shared" si="7"/>
        <v>222868</v>
      </c>
      <c r="D75" s="362"/>
      <c r="E75" s="363"/>
      <c r="F75" s="363"/>
      <c r="G75" s="363"/>
      <c r="H75" s="363"/>
      <c r="I75" s="363"/>
      <c r="J75" s="363"/>
      <c r="K75" s="359"/>
    </row>
    <row r="76" spans="1:11" s="360" customFormat="1">
      <c r="A76" s="364" t="str">
        <f>'Sources and Uses Budget'!$A76</f>
        <v>Other: (Specify)</v>
      </c>
      <c r="B76" s="361">
        <f>'Sources and Uses Budget'!C76</f>
        <v>0</v>
      </c>
      <c r="C76" s="362">
        <f t="shared" si="7"/>
        <v>0</v>
      </c>
      <c r="D76" s="362"/>
      <c r="E76" s="363"/>
      <c r="F76" s="363"/>
      <c r="G76" s="363"/>
      <c r="H76" s="363"/>
      <c r="I76" s="363"/>
      <c r="J76" s="363"/>
      <c r="K76" s="359"/>
    </row>
    <row r="77" spans="1:11" s="360" customFormat="1">
      <c r="A77" s="365" t="s">
        <v>606</v>
      </c>
      <c r="B77" s="361">
        <f>'Sources and Uses Budget'!C77</f>
        <v>252868</v>
      </c>
      <c r="C77" s="361">
        <f>SUM(C72:C76)</f>
        <v>252868</v>
      </c>
      <c r="D77" s="361">
        <f>SUM(D72:D76)</f>
        <v>0</v>
      </c>
      <c r="E77" s="363"/>
      <c r="F77" s="363"/>
      <c r="G77" s="363"/>
      <c r="H77" s="363"/>
      <c r="I77" s="363"/>
      <c r="J77" s="363"/>
      <c r="K77" s="359"/>
    </row>
    <row r="78" spans="1:11" s="360" customFormat="1">
      <c r="A78" s="357" t="s">
        <v>1210</v>
      </c>
      <c r="B78" s="358"/>
      <c r="C78" s="358"/>
      <c r="D78" s="358"/>
      <c r="E78" s="358"/>
      <c r="F78" s="358"/>
      <c r="G78" s="358"/>
      <c r="H78" s="358"/>
      <c r="I78" s="358"/>
      <c r="J78" s="358"/>
      <c r="K78" s="359"/>
    </row>
    <row r="79" spans="1:11" s="360" customFormat="1">
      <c r="A79" s="364" t="s">
        <v>1212</v>
      </c>
      <c r="B79" s="361">
        <f>'Sources and Uses Budget'!C79</f>
        <v>1035608</v>
      </c>
      <c r="C79" s="362">
        <f>B79</f>
        <v>1035608</v>
      </c>
      <c r="D79" s="362"/>
      <c r="E79" s="361">
        <f>'Sources and Uses Budget'!S79</f>
        <v>1035608</v>
      </c>
      <c r="F79" s="362">
        <f>E79</f>
        <v>1035608</v>
      </c>
      <c r="G79" s="362"/>
      <c r="H79" s="361">
        <f>'Sources and Uses Budget'!T79</f>
        <v>0</v>
      </c>
      <c r="I79" s="362"/>
      <c r="J79" s="362"/>
      <c r="K79" s="359"/>
    </row>
    <row r="80" spans="1:11" s="360" customFormat="1">
      <c r="A80" s="364" t="s">
        <v>58</v>
      </c>
      <c r="B80" s="361">
        <f>'Sources and Uses Budget'!C80</f>
        <v>217447</v>
      </c>
      <c r="C80" s="362">
        <f>B80</f>
        <v>217447</v>
      </c>
      <c r="D80" s="362"/>
      <c r="E80" s="361">
        <f>'Sources and Uses Budget'!S80</f>
        <v>217447</v>
      </c>
      <c r="F80" s="362">
        <f>E80</f>
        <v>217447</v>
      </c>
      <c r="G80" s="362"/>
      <c r="H80" s="361">
        <f>'Sources and Uses Budget'!T80</f>
        <v>0</v>
      </c>
      <c r="I80" s="362"/>
      <c r="J80" s="362"/>
      <c r="K80" s="359"/>
    </row>
    <row r="81" spans="1:11" s="360" customFormat="1">
      <c r="A81" s="365" t="s">
        <v>1209</v>
      </c>
      <c r="B81" s="361">
        <f>'Sources and Uses Budget'!C81</f>
        <v>1253055</v>
      </c>
      <c r="C81" s="361">
        <f>SUM(C79:C80)</f>
        <v>1253055</v>
      </c>
      <c r="D81" s="361">
        <f>SUM(D79:D80)</f>
        <v>0</v>
      </c>
      <c r="E81" s="361">
        <f>'Sources and Uses Budget'!S81</f>
        <v>1253055</v>
      </c>
      <c r="F81" s="361">
        <f>SUM(F79:F80)</f>
        <v>1253055</v>
      </c>
      <c r="G81" s="361">
        <f>SUM(G79:G80)</f>
        <v>0</v>
      </c>
      <c r="H81" s="361">
        <f>'Sources and Uses Budget'!T81</f>
        <v>0</v>
      </c>
      <c r="I81" s="361">
        <f>SUM(I79:I80)</f>
        <v>0</v>
      </c>
      <c r="J81" s="361">
        <f>SUM(J79:J80)</f>
        <v>0</v>
      </c>
      <c r="K81" s="359"/>
    </row>
    <row r="82" spans="1:11" s="360" customFormat="1">
      <c r="A82" s="357" t="s">
        <v>765</v>
      </c>
      <c r="B82" s="358"/>
      <c r="C82" s="358"/>
      <c r="D82" s="358"/>
      <c r="E82" s="358"/>
      <c r="F82" s="358"/>
      <c r="G82" s="358"/>
      <c r="H82" s="358"/>
      <c r="I82" s="358"/>
      <c r="J82" s="358"/>
      <c r="K82" s="359"/>
    </row>
    <row r="83" spans="1:11" s="360" customFormat="1" ht="13.7" customHeight="1">
      <c r="A83" s="145" t="s">
        <v>2049</v>
      </c>
      <c r="B83" s="361">
        <f>'Sources and Uses Budget'!C83</f>
        <v>108180</v>
      </c>
      <c r="C83" s="362">
        <f>B83</f>
        <v>108180</v>
      </c>
      <c r="D83" s="362"/>
      <c r="E83" s="363"/>
      <c r="F83" s="363"/>
      <c r="G83" s="363"/>
      <c r="H83" s="363"/>
      <c r="I83" s="363"/>
      <c r="J83" s="363"/>
      <c r="K83" s="359"/>
    </row>
    <row r="84" spans="1:11" s="360" customFormat="1">
      <c r="A84" s="145" t="s">
        <v>767</v>
      </c>
      <c r="B84" s="361">
        <f>'Sources and Uses Budget'!C84</f>
        <v>7000</v>
      </c>
      <c r="C84" s="362">
        <f t="shared" ref="C84:C95" si="8">B84</f>
        <v>7000</v>
      </c>
      <c r="D84" s="362"/>
      <c r="E84" s="361">
        <f>'Sources and Uses Budget'!S84</f>
        <v>7000</v>
      </c>
      <c r="F84" s="362">
        <f>E84</f>
        <v>7000</v>
      </c>
      <c r="G84" s="362"/>
      <c r="H84" s="361">
        <f>'Sources and Uses Budget'!T84</f>
        <v>0</v>
      </c>
      <c r="I84" s="362"/>
      <c r="J84" s="362"/>
      <c r="K84" s="359"/>
    </row>
    <row r="85" spans="1:11" s="360" customFormat="1">
      <c r="A85" s="145" t="s">
        <v>768</v>
      </c>
      <c r="B85" s="361">
        <f>'Sources and Uses Budget'!C85</f>
        <v>2460257</v>
      </c>
      <c r="C85" s="362">
        <f t="shared" si="8"/>
        <v>2460257</v>
      </c>
      <c r="D85" s="362"/>
      <c r="E85" s="361">
        <f>'Sources and Uses Budget'!S85</f>
        <v>2460257</v>
      </c>
      <c r="F85" s="362">
        <f t="shared" ref="F85:F87" si="9">E85</f>
        <v>2460257</v>
      </c>
      <c r="G85" s="362"/>
      <c r="H85" s="361">
        <f>'Sources and Uses Budget'!T85</f>
        <v>0</v>
      </c>
      <c r="I85" s="362"/>
      <c r="J85" s="362"/>
      <c r="K85" s="359"/>
    </row>
    <row r="86" spans="1:11" s="360" customFormat="1">
      <c r="A86" s="145" t="s">
        <v>769</v>
      </c>
      <c r="B86" s="361">
        <f>'Sources and Uses Budget'!C86</f>
        <v>90036</v>
      </c>
      <c r="C86" s="362">
        <f t="shared" si="8"/>
        <v>90036</v>
      </c>
      <c r="D86" s="362"/>
      <c r="E86" s="361">
        <f>'Sources and Uses Budget'!S86</f>
        <v>90036</v>
      </c>
      <c r="F86" s="362">
        <f t="shared" si="9"/>
        <v>90036</v>
      </c>
      <c r="G86" s="362"/>
      <c r="H86" s="361">
        <f>'Sources and Uses Budget'!T86</f>
        <v>0</v>
      </c>
      <c r="I86" s="362"/>
      <c r="J86" s="362"/>
      <c r="K86" s="359"/>
    </row>
    <row r="87" spans="1:11" s="360" customFormat="1">
      <c r="A87" s="145" t="s">
        <v>770</v>
      </c>
      <c r="B87" s="361">
        <f>'Sources and Uses Budget'!C87</f>
        <v>0</v>
      </c>
      <c r="C87" s="362">
        <f t="shared" si="8"/>
        <v>0</v>
      </c>
      <c r="D87" s="362"/>
      <c r="E87" s="361">
        <f>'Sources and Uses Budget'!S87</f>
        <v>0</v>
      </c>
      <c r="F87" s="362">
        <f t="shared" si="9"/>
        <v>0</v>
      </c>
      <c r="G87" s="362"/>
      <c r="H87" s="361">
        <f>'Sources and Uses Budget'!T87</f>
        <v>0</v>
      </c>
      <c r="I87" s="362"/>
      <c r="J87" s="362"/>
      <c r="K87" s="359"/>
    </row>
    <row r="88" spans="1:11" s="360" customFormat="1">
      <c r="A88" s="145" t="s">
        <v>771</v>
      </c>
      <c r="B88" s="361">
        <f>'Sources and Uses Budget'!C88</f>
        <v>30435</v>
      </c>
      <c r="C88" s="362">
        <f t="shared" si="8"/>
        <v>30435</v>
      </c>
      <c r="D88" s="362"/>
      <c r="E88" s="363"/>
      <c r="F88" s="363"/>
      <c r="G88" s="363"/>
      <c r="H88" s="363"/>
      <c r="I88" s="363"/>
      <c r="J88" s="363"/>
      <c r="K88" s="359"/>
    </row>
    <row r="89" spans="1:11" s="360" customFormat="1">
      <c r="A89" s="145" t="s">
        <v>772</v>
      </c>
      <c r="B89" s="361">
        <f>'Sources and Uses Budget'!C89</f>
        <v>40000</v>
      </c>
      <c r="C89" s="362">
        <f t="shared" si="8"/>
        <v>40000</v>
      </c>
      <c r="D89" s="362"/>
      <c r="E89" s="361">
        <f>'Sources and Uses Budget'!S89</f>
        <v>40000</v>
      </c>
      <c r="F89" s="362">
        <f>E89</f>
        <v>40000</v>
      </c>
      <c r="G89" s="362"/>
      <c r="H89" s="361">
        <f>'Sources and Uses Budget'!T89</f>
        <v>0</v>
      </c>
      <c r="I89" s="362"/>
      <c r="J89" s="362"/>
      <c r="K89" s="359"/>
    </row>
    <row r="90" spans="1:11" s="360" customFormat="1">
      <c r="A90" s="145" t="s">
        <v>773</v>
      </c>
      <c r="B90" s="361">
        <f>'Sources and Uses Budget'!C90</f>
        <v>10000</v>
      </c>
      <c r="C90" s="362">
        <f t="shared" si="8"/>
        <v>10000</v>
      </c>
      <c r="D90" s="362"/>
      <c r="E90" s="361">
        <f>'Sources and Uses Budget'!S90</f>
        <v>10000</v>
      </c>
      <c r="F90" s="362">
        <f t="shared" ref="F90:F95" si="10">E90</f>
        <v>10000</v>
      </c>
      <c r="G90" s="362"/>
      <c r="H90" s="361">
        <f>'Sources and Uses Budget'!T90</f>
        <v>0</v>
      </c>
      <c r="I90" s="362"/>
      <c r="J90" s="362"/>
      <c r="K90" s="359"/>
    </row>
    <row r="91" spans="1:11" s="360" customFormat="1">
      <c r="A91" s="155" t="s">
        <v>372</v>
      </c>
      <c r="B91" s="361">
        <f>'Sources and Uses Budget'!C91</f>
        <v>45000</v>
      </c>
      <c r="C91" s="362">
        <f t="shared" si="8"/>
        <v>45000</v>
      </c>
      <c r="D91" s="362"/>
      <c r="E91" s="361">
        <f>'Sources and Uses Budget'!S91</f>
        <v>45000</v>
      </c>
      <c r="F91" s="362">
        <f t="shared" si="10"/>
        <v>45000</v>
      </c>
      <c r="G91" s="362"/>
      <c r="H91" s="361">
        <f>'Sources and Uses Budget'!T91</f>
        <v>0</v>
      </c>
      <c r="I91" s="362"/>
      <c r="J91" s="362"/>
      <c r="K91" s="359"/>
    </row>
    <row r="92" spans="1:11" s="360" customFormat="1">
      <c r="A92" s="508" t="s">
        <v>1211</v>
      </c>
      <c r="B92" s="361">
        <f>'Sources and Uses Budget'!C92</f>
        <v>7500</v>
      </c>
      <c r="C92" s="362">
        <f t="shared" si="8"/>
        <v>7500</v>
      </c>
      <c r="D92" s="362"/>
      <c r="E92" s="361">
        <f>'Sources and Uses Budget'!S92</f>
        <v>7500</v>
      </c>
      <c r="F92" s="362">
        <f t="shared" si="10"/>
        <v>7500</v>
      </c>
      <c r="G92" s="362"/>
      <c r="H92" s="361">
        <f>'Sources and Uses Budget'!T92</f>
        <v>0</v>
      </c>
      <c r="I92" s="362"/>
      <c r="J92" s="362"/>
      <c r="K92" s="359"/>
    </row>
    <row r="93" spans="1:11" s="360" customFormat="1">
      <c r="A93" s="364" t="str">
        <f>'Sources and Uses Budget'!$A93</f>
        <v>Other: (Specify)</v>
      </c>
      <c r="B93" s="361">
        <f>'Sources and Uses Budget'!C93</f>
        <v>0</v>
      </c>
      <c r="C93" s="362">
        <f t="shared" si="8"/>
        <v>0</v>
      </c>
      <c r="D93" s="362"/>
      <c r="E93" s="361">
        <f>'Sources and Uses Budget'!S93</f>
        <v>0</v>
      </c>
      <c r="F93" s="362">
        <f t="shared" si="10"/>
        <v>0</v>
      </c>
      <c r="G93" s="362"/>
      <c r="H93" s="361">
        <f>'Sources and Uses Budget'!T93</f>
        <v>0</v>
      </c>
      <c r="I93" s="362"/>
      <c r="J93" s="362"/>
      <c r="K93" s="359"/>
    </row>
    <row r="94" spans="1:11" s="360" customFormat="1">
      <c r="A94" s="364" t="str">
        <f>'Sources and Uses Budget'!$A94</f>
        <v>Other: (Specify)</v>
      </c>
      <c r="B94" s="361">
        <f>'Sources and Uses Budget'!C94</f>
        <v>0</v>
      </c>
      <c r="C94" s="362">
        <f t="shared" si="8"/>
        <v>0</v>
      </c>
      <c r="D94" s="362"/>
      <c r="E94" s="361">
        <f>'Sources and Uses Budget'!S94</f>
        <v>0</v>
      </c>
      <c r="F94" s="362">
        <f t="shared" si="10"/>
        <v>0</v>
      </c>
      <c r="G94" s="362"/>
      <c r="H94" s="361">
        <f>'Sources and Uses Budget'!T94</f>
        <v>0</v>
      </c>
      <c r="I94" s="362"/>
      <c r="J94" s="362"/>
      <c r="K94" s="359"/>
    </row>
    <row r="95" spans="1:11" s="360" customFormat="1">
      <c r="A95" s="364" t="str">
        <f>'Sources and Uses Budget'!$A95</f>
        <v>Other: (Specify)</v>
      </c>
      <c r="B95" s="361">
        <f>'Sources and Uses Budget'!C95</f>
        <v>0</v>
      </c>
      <c r="C95" s="362">
        <f t="shared" si="8"/>
        <v>0</v>
      </c>
      <c r="D95" s="362"/>
      <c r="E95" s="361">
        <f>'Sources and Uses Budget'!S95</f>
        <v>0</v>
      </c>
      <c r="F95" s="362">
        <f t="shared" si="10"/>
        <v>0</v>
      </c>
      <c r="G95" s="362"/>
      <c r="H95" s="361">
        <f>'Sources and Uses Budget'!T95</f>
        <v>0</v>
      </c>
      <c r="I95" s="362"/>
      <c r="J95" s="362"/>
      <c r="K95" s="359"/>
    </row>
    <row r="96" spans="1:11" s="360" customFormat="1">
      <c r="A96" s="365" t="s">
        <v>774</v>
      </c>
      <c r="B96" s="361">
        <f>'Sources and Uses Budget'!C96</f>
        <v>2798408</v>
      </c>
      <c r="C96" s="361">
        <f>SUM(C83:C95)</f>
        <v>2798408</v>
      </c>
      <c r="D96" s="361">
        <f>SUM(D83:D95)</f>
        <v>0</v>
      </c>
      <c r="E96" s="361">
        <f>'Sources and Uses Budget'!S96</f>
        <v>2659793</v>
      </c>
      <c r="F96" s="367">
        <f>SUM(F84:F87,F89:F95)</f>
        <v>2659793</v>
      </c>
      <c r="G96" s="367">
        <f>SUM(G84:G87,G89:G95)</f>
        <v>0</v>
      </c>
      <c r="H96" s="361">
        <f>'Sources and Uses Budget'!T96</f>
        <v>0</v>
      </c>
      <c r="I96" s="361">
        <f>SUM(I84:I87,I89:I95)</f>
        <v>0</v>
      </c>
      <c r="J96" s="361">
        <f>SUM(J84:J87,J89:J95)</f>
        <v>0</v>
      </c>
      <c r="K96" s="359"/>
    </row>
    <row r="97" spans="1:11" s="360" customFormat="1">
      <c r="A97" s="365" t="s">
        <v>1029</v>
      </c>
      <c r="B97" s="361">
        <f>'Sources and Uses Budget'!C97</f>
        <v>30444035</v>
      </c>
      <c r="C97" s="361">
        <f>SUM(C63+C70+C77+C81+C96)</f>
        <v>30444035</v>
      </c>
      <c r="D97" s="361">
        <f>SUM(D63+D70+D77+D81+D96)</f>
        <v>0</v>
      </c>
      <c r="E97" s="361">
        <f>'Sources and Uses Budget'!S97</f>
        <v>27188327</v>
      </c>
      <c r="F97" s="367">
        <f>SUM(+F63+F70+F81+F96)</f>
        <v>27188327</v>
      </c>
      <c r="G97" s="367">
        <f>SUM(+G63+G70+G81+G96)</f>
        <v>0</v>
      </c>
      <c r="H97" s="361">
        <f>'Sources and Uses Budget'!T97</f>
        <v>0</v>
      </c>
      <c r="I97" s="367">
        <f>SUM(I63+I70+I81+I96)</f>
        <v>0</v>
      </c>
      <c r="J97" s="367">
        <f>SUM(J63+J70+J81+J96)</f>
        <v>0</v>
      </c>
      <c r="K97" s="359"/>
    </row>
    <row r="98" spans="1:11" s="360" customFormat="1">
      <c r="A98" s="357" t="s">
        <v>776</v>
      </c>
      <c r="B98" s="358"/>
      <c r="C98" s="358"/>
      <c r="D98" s="358"/>
      <c r="E98" s="358"/>
      <c r="F98" s="358"/>
      <c r="G98" s="358"/>
      <c r="H98" s="358"/>
      <c r="I98" s="358"/>
      <c r="J98" s="358"/>
      <c r="K98" s="359"/>
    </row>
    <row r="99" spans="1:11" s="360" customFormat="1">
      <c r="A99" s="145" t="s">
        <v>777</v>
      </c>
      <c r="B99" s="361">
        <f>'Sources and Uses Budget'!C99</f>
        <v>3739102</v>
      </c>
      <c r="C99" s="362">
        <f>B99</f>
        <v>3739102</v>
      </c>
      <c r="D99" s="362"/>
      <c r="E99" s="361">
        <f>'Sources and Uses Budget'!S99</f>
        <v>3739102</v>
      </c>
      <c r="F99" s="362">
        <f>E99</f>
        <v>3739102</v>
      </c>
      <c r="G99" s="362"/>
      <c r="H99" s="361">
        <f>'Sources and Uses Budget'!T99</f>
        <v>0</v>
      </c>
      <c r="I99" s="362"/>
      <c r="J99" s="362"/>
      <c r="K99" s="359"/>
    </row>
    <row r="100" spans="1:11" s="360" customFormat="1">
      <c r="A100" s="283" t="s">
        <v>1635</v>
      </c>
      <c r="B100" s="361">
        <f>'Sources and Uses Budget'!C100</f>
        <v>0</v>
      </c>
      <c r="C100" s="362">
        <f t="shared" ref="C100:C103" si="11">B100</f>
        <v>0</v>
      </c>
      <c r="D100" s="362"/>
      <c r="E100" s="361">
        <f>'Sources and Uses Budget'!S100</f>
        <v>0</v>
      </c>
      <c r="F100" s="362">
        <f t="shared" ref="F100:F103" si="12">E100</f>
        <v>0</v>
      </c>
      <c r="G100" s="362"/>
      <c r="H100" s="361">
        <f>'Sources and Uses Budget'!T100</f>
        <v>0</v>
      </c>
      <c r="I100" s="362"/>
      <c r="J100" s="362"/>
      <c r="K100" s="359"/>
    </row>
    <row r="101" spans="1:11" s="360" customFormat="1">
      <c r="A101" s="145" t="s">
        <v>778</v>
      </c>
      <c r="B101" s="361">
        <f>'Sources and Uses Budget'!C101</f>
        <v>0</v>
      </c>
      <c r="C101" s="362">
        <f t="shared" si="11"/>
        <v>0</v>
      </c>
      <c r="D101" s="362"/>
      <c r="E101" s="361">
        <f>'Sources and Uses Budget'!S101</f>
        <v>0</v>
      </c>
      <c r="F101" s="362">
        <f t="shared" si="12"/>
        <v>0</v>
      </c>
      <c r="G101" s="362"/>
      <c r="H101" s="361">
        <f>'Sources and Uses Budget'!T101</f>
        <v>0</v>
      </c>
      <c r="I101" s="362"/>
      <c r="J101" s="362"/>
      <c r="K101" s="359"/>
    </row>
    <row r="102" spans="1:11" s="360" customFormat="1" ht="12" customHeight="1">
      <c r="A102" s="283" t="s">
        <v>1636</v>
      </c>
      <c r="B102" s="361">
        <f>'Sources and Uses Budget'!C102</f>
        <v>0</v>
      </c>
      <c r="C102" s="362">
        <f t="shared" si="11"/>
        <v>0</v>
      </c>
      <c r="D102" s="362"/>
      <c r="E102" s="361">
        <f>'Sources and Uses Budget'!S102</f>
        <v>0</v>
      </c>
      <c r="F102" s="362">
        <f t="shared" si="12"/>
        <v>0</v>
      </c>
      <c r="G102" s="362"/>
      <c r="H102" s="361">
        <f>'Sources and Uses Budget'!T102</f>
        <v>0</v>
      </c>
      <c r="I102" s="362"/>
      <c r="J102" s="362"/>
      <c r="K102" s="359"/>
    </row>
    <row r="103" spans="1:11" s="360" customFormat="1">
      <c r="A103" s="364" t="str">
        <f>'Sources and Uses Budget'!$A103</f>
        <v>Other: (Specify)</v>
      </c>
      <c r="B103" s="361">
        <f>'Sources and Uses Budget'!C103</f>
        <v>0</v>
      </c>
      <c r="C103" s="362">
        <f t="shared" si="11"/>
        <v>0</v>
      </c>
      <c r="D103" s="362"/>
      <c r="E103" s="361">
        <f>'Sources and Uses Budget'!S103</f>
        <v>0</v>
      </c>
      <c r="F103" s="362">
        <f t="shared" si="12"/>
        <v>0</v>
      </c>
      <c r="G103" s="362"/>
      <c r="H103" s="361">
        <f>'Sources and Uses Budget'!T103</f>
        <v>0</v>
      </c>
      <c r="I103" s="362"/>
      <c r="J103" s="362"/>
      <c r="K103" s="359"/>
    </row>
    <row r="104" spans="1:11" s="360" customFormat="1">
      <c r="A104" s="365" t="s">
        <v>779</v>
      </c>
      <c r="B104" s="361">
        <f>'Sources and Uses Budget'!C104</f>
        <v>3739102</v>
      </c>
      <c r="C104" s="361">
        <f>SUM(C99:C103)</f>
        <v>3739102</v>
      </c>
      <c r="D104" s="361">
        <f>SUM(D99:D103)</f>
        <v>0</v>
      </c>
      <c r="E104" s="361">
        <f>'Sources and Uses Budget'!S104</f>
        <v>3739102</v>
      </c>
      <c r="F104" s="367">
        <f>SUM(F99:F103)</f>
        <v>3739102</v>
      </c>
      <c r="G104" s="367">
        <f>SUM(G99:G103)</f>
        <v>0</v>
      </c>
      <c r="H104" s="361">
        <f>'Sources and Uses Budget'!T104</f>
        <v>0</v>
      </c>
      <c r="I104" s="367">
        <f>SUM(I99:I103)</f>
        <v>0</v>
      </c>
      <c r="J104" s="367">
        <f>SUM(J99:J103)</f>
        <v>0</v>
      </c>
      <c r="K104" s="359"/>
    </row>
    <row r="105" spans="1:11" s="360" customFormat="1">
      <c r="A105" s="365" t="s">
        <v>1030</v>
      </c>
      <c r="B105" s="361">
        <f>'Sources and Uses Budget'!C105</f>
        <v>34183137</v>
      </c>
      <c r="C105" s="367">
        <f>SUM(C97+C104)</f>
        <v>34183137</v>
      </c>
      <c r="D105" s="367">
        <f>SUM(D97+D104)</f>
        <v>0</v>
      </c>
      <c r="E105" s="361">
        <f>'Sources and Uses Budget'!S105</f>
        <v>30927429</v>
      </c>
      <c r="F105" s="367">
        <f>F97+F104</f>
        <v>30927429</v>
      </c>
      <c r="G105" s="367">
        <f>G97+G104</f>
        <v>0</v>
      </c>
      <c r="H105" s="361">
        <f>'Sources and Uses Budget'!T105</f>
        <v>0</v>
      </c>
      <c r="I105" s="367">
        <f>I97+I104</f>
        <v>0</v>
      </c>
      <c r="J105" s="367">
        <f>J97+J104</f>
        <v>0</v>
      </c>
      <c r="K105" s="359"/>
    </row>
    <row r="106" spans="1:11" s="360" customFormat="1">
      <c r="A106" s="371"/>
      <c r="B106" s="372"/>
      <c r="C106" s="372"/>
      <c r="D106" s="372"/>
      <c r="E106" s="361">
        <f>'Sources and Uses Budget'!S106</f>
        <v>0</v>
      </c>
      <c r="F106" s="362"/>
      <c r="G106" s="362"/>
      <c r="H106" s="361">
        <f>'Sources and Uses Budget'!T106</f>
        <v>0</v>
      </c>
      <c r="I106" s="362"/>
      <c r="J106" s="362"/>
      <c r="K106" s="359"/>
    </row>
    <row r="107" spans="1:11" s="360" customFormat="1">
      <c r="A107" s="373"/>
      <c r="B107" s="374"/>
      <c r="C107" s="372"/>
      <c r="D107" s="454" t="s">
        <v>375</v>
      </c>
      <c r="E107" s="361">
        <f>'Sources and Uses Budget'!S107</f>
        <v>30927429</v>
      </c>
      <c r="F107" s="367">
        <f>F105+F106</f>
        <v>30927429</v>
      </c>
      <c r="G107" s="367">
        <f>G105+G106</f>
        <v>0</v>
      </c>
      <c r="H107" s="361">
        <f>'Sources and Uses Budget'!T107</f>
        <v>0</v>
      </c>
      <c r="I107" s="367">
        <f>I105+I106</f>
        <v>0</v>
      </c>
      <c r="J107" s="367">
        <f>J105+J106</f>
        <v>0</v>
      </c>
      <c r="K107" s="359"/>
    </row>
    <row r="108" spans="1:11" s="360" customFormat="1">
      <c r="A108" s="373"/>
      <c r="B108" s="375"/>
      <c r="C108" s="375"/>
      <c r="D108" s="375"/>
      <c r="J108" s="376"/>
      <c r="K108" s="359"/>
    </row>
    <row r="109" spans="1:11" s="360" customFormat="1">
      <c r="A109" s="373"/>
      <c r="B109" s="375"/>
      <c r="C109" s="375"/>
      <c r="D109" s="375"/>
      <c r="J109" s="376"/>
      <c r="K109" s="359"/>
    </row>
    <row r="110" spans="1:11" s="360" customFormat="1">
      <c r="A110" s="373"/>
      <c r="B110" s="375"/>
      <c r="C110" s="375"/>
      <c r="D110" s="375"/>
      <c r="J110" s="376"/>
      <c r="K110" s="359"/>
    </row>
    <row r="111" spans="1:11" s="360" customFormat="1" ht="12.75">
      <c r="A111" s="377"/>
      <c r="B111" s="375"/>
      <c r="C111" s="375"/>
      <c r="D111" s="375"/>
      <c r="J111" s="376"/>
      <c r="K111" s="359"/>
    </row>
    <row r="112" spans="1:11" s="360" customFormat="1" ht="12.75">
      <c r="A112" s="377"/>
      <c r="B112" s="375"/>
      <c r="C112" s="375"/>
      <c r="D112" s="375"/>
      <c r="J112" s="376"/>
      <c r="K112" s="359"/>
    </row>
    <row r="113" spans="1:11" s="360" customFormat="1" ht="14.25">
      <c r="A113" s="378"/>
      <c r="B113" s="375"/>
      <c r="C113" s="375"/>
      <c r="D113" s="375"/>
      <c r="J113" s="376"/>
      <c r="K113" s="359"/>
    </row>
    <row r="114" spans="1:11" s="360" customFormat="1" ht="12.75">
      <c r="A114" s="377"/>
      <c r="J114" s="376"/>
      <c r="K114" s="359"/>
    </row>
    <row r="115" spans="1:11" s="360" customFormat="1" ht="14.25">
      <c r="A115" s="378"/>
      <c r="J115" s="376"/>
      <c r="K115" s="359"/>
    </row>
    <row r="116" spans="1:11" s="360" customFormat="1" ht="14.25">
      <c r="A116" s="378"/>
      <c r="J116" s="376"/>
      <c r="K116" s="359"/>
    </row>
    <row r="117" spans="1:11" s="360" customFormat="1">
      <c r="B117" s="375"/>
      <c r="C117" s="375"/>
      <c r="D117" s="375"/>
      <c r="J117" s="376"/>
      <c r="K117" s="359"/>
    </row>
    <row r="118" spans="1:11" s="360" customFormat="1">
      <c r="J118" s="376"/>
      <c r="K118" s="359"/>
    </row>
    <row r="119" spans="1:11" s="360" customFormat="1">
      <c r="J119" s="376"/>
      <c r="K119" s="359"/>
    </row>
    <row r="120" spans="1:11" s="360" customFormat="1">
      <c r="J120" s="376"/>
      <c r="K120" s="359"/>
    </row>
    <row r="121" spans="1:11" s="360" customFormat="1" ht="14.25">
      <c r="A121" s="378"/>
      <c r="J121" s="376"/>
      <c r="K121" s="359"/>
    </row>
    <row r="122" spans="1:11" s="380" customFormat="1" ht="15.75">
      <c r="A122" s="379"/>
      <c r="J122" s="381"/>
      <c r="K122" s="382"/>
    </row>
    <row r="123" spans="1:11" s="360" customFormat="1">
      <c r="A123" s="383"/>
      <c r="J123" s="376"/>
      <c r="K123" s="359"/>
    </row>
    <row r="124" spans="1:11" s="360" customFormat="1">
      <c r="B124" s="384"/>
      <c r="D124" s="1876"/>
      <c r="E124" s="1845"/>
      <c r="F124" s="1845"/>
      <c r="G124" s="1845"/>
      <c r="H124" s="1845"/>
      <c r="I124" s="1845"/>
      <c r="J124" s="376"/>
      <c r="K124" s="359"/>
    </row>
    <row r="125" spans="1:11" s="360" customFormat="1" ht="12.75">
      <c r="A125" s="385"/>
      <c r="B125" s="384"/>
      <c r="C125" s="385"/>
      <c r="D125" s="1845"/>
      <c r="E125" s="1845"/>
      <c r="F125" s="1845"/>
      <c r="G125" s="1845"/>
      <c r="H125" s="1845"/>
      <c r="I125" s="1845"/>
      <c r="J125" s="376"/>
      <c r="K125" s="359"/>
    </row>
    <row r="126" spans="1:11" s="360" customFormat="1" ht="12.75">
      <c r="A126" s="385"/>
      <c r="B126" s="384"/>
      <c r="C126" s="385"/>
      <c r="D126" s="1845"/>
      <c r="E126" s="1845"/>
      <c r="F126" s="1845"/>
      <c r="G126" s="1845"/>
      <c r="H126" s="1845"/>
      <c r="I126" s="1845"/>
      <c r="J126" s="376"/>
      <c r="K126" s="359"/>
    </row>
    <row r="127" spans="1:11" s="360" customFormat="1" ht="12.75">
      <c r="A127" s="385"/>
      <c r="B127" s="384"/>
      <c r="C127" s="385"/>
      <c r="D127" s="386"/>
      <c r="E127" s="385"/>
      <c r="F127" s="385"/>
      <c r="G127" s="385"/>
      <c r="J127" s="376"/>
      <c r="K127" s="359"/>
    </row>
    <row r="128" spans="1:11" s="360" customFormat="1" ht="12.75">
      <c r="A128" s="385"/>
      <c r="B128" s="384"/>
      <c r="C128" s="385"/>
      <c r="D128" s="386"/>
      <c r="E128" s="385"/>
      <c r="F128" s="385"/>
      <c r="G128" s="385"/>
      <c r="J128" s="376"/>
      <c r="K128" s="359"/>
    </row>
    <row r="129" spans="1:11" s="360" customFormat="1" ht="12.75">
      <c r="A129" s="385"/>
      <c r="B129" s="384"/>
      <c r="C129" s="385"/>
      <c r="D129" s="385"/>
      <c r="E129" s="385"/>
      <c r="F129" s="385"/>
      <c r="G129" s="385"/>
      <c r="J129" s="376"/>
      <c r="K129" s="359"/>
    </row>
    <row r="130" spans="1:11" s="360" customFormat="1" ht="12.75">
      <c r="A130" s="385"/>
      <c r="B130" s="384"/>
      <c r="C130" s="385"/>
      <c r="D130" s="385"/>
      <c r="E130" s="385"/>
      <c r="F130" s="385"/>
      <c r="G130" s="385"/>
      <c r="J130" s="376"/>
      <c r="K130" s="359"/>
    </row>
    <row r="131" spans="1:11" s="360" customFormat="1" ht="12.75">
      <c r="A131" s="385"/>
      <c r="B131" s="387"/>
      <c r="C131" s="385"/>
      <c r="D131" s="385"/>
      <c r="E131" s="385"/>
      <c r="F131" s="385"/>
      <c r="G131" s="385"/>
      <c r="J131" s="376"/>
      <c r="K131" s="359"/>
    </row>
    <row r="132" spans="1:11" s="360" customFormat="1" ht="12.75">
      <c r="A132" s="388"/>
      <c r="B132" s="389"/>
      <c r="C132" s="385"/>
      <c r="D132" s="390"/>
      <c r="E132" s="385"/>
      <c r="F132" s="385"/>
      <c r="G132" s="385"/>
      <c r="J132" s="376"/>
      <c r="K132" s="359"/>
    </row>
    <row r="133" spans="1:11" s="360" customFormat="1" ht="12.75">
      <c r="A133" s="391"/>
      <c r="B133" s="385"/>
      <c r="C133" s="385"/>
      <c r="D133" s="385"/>
      <c r="E133" s="385"/>
      <c r="F133" s="385"/>
      <c r="G133" s="385"/>
      <c r="J133" s="376"/>
      <c r="K133" s="359"/>
    </row>
    <row r="134" spans="1:11" s="360" customFormat="1" ht="12.75">
      <c r="A134" s="391"/>
      <c r="B134" s="385"/>
      <c r="C134" s="385"/>
      <c r="D134" s="385"/>
      <c r="E134" s="385"/>
      <c r="F134" s="385"/>
      <c r="G134" s="385"/>
      <c r="J134" s="376"/>
      <c r="K134" s="359"/>
    </row>
    <row r="135" spans="1:11" s="360" customFormat="1" ht="12.75">
      <c r="A135" s="392"/>
      <c r="B135" s="385"/>
      <c r="C135" s="385"/>
      <c r="D135" s="385"/>
      <c r="E135" s="385"/>
      <c r="F135" s="385"/>
      <c r="G135" s="385"/>
      <c r="J135" s="376"/>
      <c r="K135" s="359"/>
    </row>
    <row r="136" spans="1:11" s="360" customFormat="1" ht="12.75">
      <c r="A136" s="377"/>
      <c r="B136" s="385"/>
      <c r="C136" s="385"/>
      <c r="D136" s="385"/>
      <c r="E136" s="385"/>
      <c r="F136" s="385"/>
      <c r="G136" s="385"/>
      <c r="J136" s="376"/>
      <c r="K136" s="359"/>
    </row>
    <row r="137" spans="1:11" ht="12.75">
      <c r="A137" s="391"/>
      <c r="B137" s="385"/>
      <c r="C137" s="385"/>
      <c r="D137" s="385"/>
      <c r="E137" s="385"/>
      <c r="F137" s="385"/>
      <c r="G137" s="385"/>
    </row>
    <row r="138" spans="1:11" ht="12" customHeight="1">
      <c r="A138" s="391"/>
      <c r="B138" s="385"/>
      <c r="C138" s="385"/>
      <c r="D138" s="385"/>
      <c r="E138" s="385"/>
      <c r="F138" s="385"/>
      <c r="G138" s="385"/>
    </row>
    <row r="139" spans="1:11" ht="12" customHeight="1">
      <c r="A139" s="1877"/>
      <c r="B139" s="1845"/>
      <c r="C139" s="1845"/>
      <c r="D139" s="356"/>
      <c r="E139" s="385"/>
      <c r="F139" s="385"/>
      <c r="G139" s="385"/>
    </row>
    <row r="140" spans="1:11" ht="12" customHeight="1">
      <c r="A140" s="1818"/>
      <c r="B140" s="1818"/>
      <c r="C140" s="1818"/>
      <c r="D140" s="356"/>
      <c r="E140" s="385"/>
      <c r="F140" s="385"/>
      <c r="G140" s="385"/>
    </row>
    <row r="141" spans="1:11" ht="12" customHeight="1">
      <c r="A141" s="391"/>
      <c r="B141" s="385"/>
      <c r="C141" s="385"/>
      <c r="D141" s="356"/>
      <c r="E141" s="385"/>
      <c r="F141" s="385"/>
      <c r="G141" s="385"/>
      <c r="H141" s="394"/>
      <c r="I141" s="394"/>
    </row>
    <row r="142" spans="1:11" ht="12" customHeight="1">
      <c r="A142" s="396"/>
      <c r="B142" s="356"/>
      <c r="C142" s="356"/>
      <c r="D142" s="356"/>
      <c r="E142" s="385"/>
      <c r="F142" s="385"/>
      <c r="G142" s="385"/>
      <c r="H142" s="394"/>
      <c r="I142" s="394"/>
    </row>
    <row r="143" spans="1:11"/>
    <row r="144" spans="1:11"/>
    <row r="145"/>
    <row r="146"/>
    <row r="147"/>
    <row r="148"/>
  </sheetData>
  <sheetProtection algorithmName="SHA-512" hashValue="GTN4xcmqRs9Rm66GDDdGx3dd1amzq0qHHbkwOueqEF8s9i3m7Ej+0ONxXw9AyNcSatr84/HhJv/ALFjHsu13OA==" saltValue="xQwEd0OMHbTo+lheMNTjhQ==" spinCount="100000" sheet="1" objects="1" scenarios="1"/>
  <mergeCells count="4">
    <mergeCell ref="D124:I126"/>
    <mergeCell ref="A139:C139"/>
    <mergeCell ref="A140:C140"/>
    <mergeCell ref="A1:J1"/>
  </mergeCells>
  <conditionalFormatting sqref="B3:B105">
    <cfRule type="cellIs" dxfId="21" priority="5" stopIfTrue="1" operator="notEqual">
      <formula>$C3+$D3</formula>
    </cfRule>
  </conditionalFormatting>
  <conditionalFormatting sqref="E3:E107">
    <cfRule type="cellIs" dxfId="20" priority="2" stopIfTrue="1" operator="notEqual">
      <formula>$F3+$G3</formula>
    </cfRule>
  </conditionalFormatting>
  <conditionalFormatting sqref="H3:H107">
    <cfRule type="cellIs" dxfId="19"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854602-3E03-4B08-8380-C7110E85D09F}">
  <sheetPr>
    <pageSetUpPr fitToPage="1"/>
  </sheetPr>
  <dimension ref="A1:CP251"/>
  <sheetViews>
    <sheetView showGridLines="0" workbookViewId="0">
      <selection activeCell="AP4" sqref="AP4:AU4"/>
    </sheetView>
  </sheetViews>
  <sheetFormatPr defaultColWidth="2.7109375" defaultRowHeight="15.75" customHeight="1"/>
  <cols>
    <col min="1" max="8" width="2.7109375" style="1204"/>
    <col min="9" max="9" width="7.7109375" style="1204" customWidth="1"/>
    <col min="10" max="13" width="2.7109375" style="1204"/>
    <col min="14" max="14" width="4.7109375" style="1204" customWidth="1"/>
    <col min="15" max="19" width="2.7109375" style="1204"/>
    <col min="20" max="20" width="3.7109375" style="1204" customWidth="1"/>
    <col min="21" max="37" width="2.7109375" style="1204"/>
    <col min="38" max="38" width="3" style="1204" customWidth="1"/>
    <col min="39" max="45" width="2.7109375" style="1204"/>
    <col min="46" max="46" width="4.7109375" style="1204" customWidth="1"/>
    <col min="47" max="51" width="2.7109375" style="1204"/>
    <col min="52" max="52" width="3.5703125" style="1204" customWidth="1"/>
    <col min="53" max="53" width="2.7109375" style="1204"/>
    <col min="54" max="54" width="4.42578125" style="1204" customWidth="1"/>
    <col min="55" max="64" width="2.7109375" style="1204"/>
    <col min="65" max="65" width="10.42578125" style="1204" hidden="1" customWidth="1"/>
    <col min="66" max="66" width="5.5703125" style="1205" bestFit="1" customWidth="1"/>
    <col min="67" max="68" width="5.5703125" style="1205" customWidth="1"/>
    <col min="69" max="69" width="8" style="1205" customWidth="1"/>
    <col min="70" max="70" width="6" style="1205" customWidth="1"/>
    <col min="71" max="71" width="6.140625" style="1205" customWidth="1"/>
    <col min="72" max="76" width="5.5703125" style="1205" customWidth="1"/>
    <col min="77" max="77" width="6.140625" style="1205" bestFit="1" customWidth="1"/>
    <col min="78" max="78" width="5.5703125" style="1204" bestFit="1" customWidth="1"/>
    <col min="79" max="16384" width="2.7109375" style="1204"/>
  </cols>
  <sheetData>
    <row r="1" spans="1:65" ht="15.75" customHeight="1">
      <c r="A1" s="2317" t="s">
        <v>2388</v>
      </c>
      <c r="B1" s="2318"/>
      <c r="C1" s="2318"/>
      <c r="D1" s="2318"/>
      <c r="E1" s="2318"/>
      <c r="F1" s="2318"/>
      <c r="G1" s="2318"/>
      <c r="H1" s="2318"/>
      <c r="I1" s="2318"/>
      <c r="J1" s="2318"/>
      <c r="K1" s="2318"/>
      <c r="L1" s="2318"/>
      <c r="M1" s="2318"/>
      <c r="N1" s="2318"/>
      <c r="O1" s="2318"/>
      <c r="P1" s="2318"/>
      <c r="Q1" s="2318"/>
      <c r="R1" s="2318"/>
      <c r="S1" s="2318"/>
      <c r="T1" s="2318"/>
      <c r="U1" s="2318"/>
      <c r="V1" s="2318"/>
      <c r="W1" s="2318"/>
      <c r="X1" s="2318"/>
      <c r="Y1" s="2318"/>
      <c r="Z1" s="2318"/>
      <c r="AA1" s="2318"/>
      <c r="AB1" s="2318"/>
      <c r="AC1" s="2318"/>
      <c r="AD1" s="2318"/>
      <c r="AE1" s="2318"/>
      <c r="AF1" s="2318"/>
      <c r="AG1" s="2318"/>
      <c r="AH1" s="2318"/>
      <c r="AI1" s="2318"/>
      <c r="AJ1" s="2318"/>
      <c r="AK1" s="2318"/>
      <c r="AL1" s="2318"/>
      <c r="AM1" s="2318"/>
      <c r="AN1" s="2318"/>
      <c r="AO1" s="2318"/>
      <c r="AP1" s="2318"/>
      <c r="AQ1" s="2318"/>
      <c r="AR1" s="2318"/>
      <c r="AS1" s="2318"/>
      <c r="AT1" s="2318"/>
      <c r="AU1" s="2318"/>
      <c r="AV1" s="2318"/>
      <c r="AW1" s="2318"/>
      <c r="AX1" s="2318"/>
      <c r="AY1" s="2318"/>
      <c r="AZ1" s="2318"/>
      <c r="BA1" s="2318"/>
      <c r="BB1" s="2318"/>
      <c r="BC1" s="2318"/>
      <c r="BD1" s="2318"/>
      <c r="BE1" s="2319"/>
    </row>
    <row r="2" spans="1:65" ht="15.75" customHeight="1">
      <c r="A2" s="2320" t="s">
        <v>2387</v>
      </c>
      <c r="B2" s="2321"/>
      <c r="C2" s="2321"/>
      <c r="D2" s="2321"/>
      <c r="E2" s="2321"/>
      <c r="F2" s="2321"/>
      <c r="G2" s="2321"/>
      <c r="H2" s="2321"/>
      <c r="I2" s="2321"/>
      <c r="J2" s="2321"/>
      <c r="K2" s="2321"/>
      <c r="L2" s="2321"/>
      <c r="M2" s="2321"/>
      <c r="N2" s="2321"/>
      <c r="O2" s="2321"/>
      <c r="P2" s="2321"/>
      <c r="Q2" s="2321"/>
      <c r="R2" s="2321"/>
      <c r="S2" s="2321"/>
      <c r="T2" s="2321"/>
      <c r="U2" s="2321"/>
      <c r="V2" s="2321"/>
      <c r="W2" s="2321"/>
      <c r="X2" s="2321"/>
      <c r="Y2" s="2321"/>
      <c r="Z2" s="2321"/>
      <c r="AA2" s="2321"/>
      <c r="AB2" s="2321"/>
      <c r="AC2" s="2321"/>
      <c r="AD2" s="2321"/>
      <c r="AE2" s="2321"/>
      <c r="AF2" s="2321"/>
      <c r="AG2" s="2321"/>
      <c r="AH2" s="2321"/>
      <c r="AI2" s="2321"/>
      <c r="AJ2" s="2321"/>
      <c r="AK2" s="2321"/>
      <c r="AL2" s="2321"/>
      <c r="AM2" s="2321"/>
      <c r="AN2" s="2321"/>
      <c r="AO2" s="2321"/>
      <c r="AP2" s="2321"/>
      <c r="AQ2" s="2321"/>
      <c r="AR2" s="2321"/>
      <c r="AS2" s="2321"/>
      <c r="AT2" s="2321"/>
      <c r="AU2" s="2321"/>
      <c r="AV2" s="2321"/>
      <c r="AW2" s="2321"/>
      <c r="AX2" s="2321"/>
      <c r="AY2" s="2321"/>
      <c r="AZ2" s="2321"/>
      <c r="BA2" s="2321"/>
      <c r="BB2" s="2321"/>
      <c r="BC2" s="2321"/>
      <c r="BD2" s="2321"/>
      <c r="BE2" s="2322"/>
      <c r="BF2" s="1206"/>
    </row>
    <row r="3" spans="1:65" ht="15.75" customHeight="1" thickBot="1">
      <c r="A3" s="1207"/>
      <c r="B3" s="1208"/>
      <c r="C3" s="1208"/>
      <c r="D3" s="1208"/>
      <c r="E3" s="1208"/>
      <c r="F3" s="1208"/>
      <c r="G3" s="1208"/>
      <c r="H3" s="1208"/>
      <c r="I3" s="1208"/>
      <c r="J3" s="1208"/>
      <c r="K3" s="1208"/>
      <c r="L3" s="1208"/>
      <c r="M3" s="1208"/>
      <c r="N3" s="1208"/>
      <c r="O3" s="1208"/>
      <c r="P3" s="1208"/>
      <c r="Q3" s="1208"/>
      <c r="R3" s="1208"/>
      <c r="S3" s="1208"/>
      <c r="T3" s="1208"/>
      <c r="U3" s="1208"/>
      <c r="V3" s="1208"/>
      <c r="W3" s="1208"/>
      <c r="X3" s="1208"/>
      <c r="Y3" s="1208"/>
      <c r="Z3" s="1208"/>
      <c r="AA3" s="1208"/>
      <c r="AB3" s="1208"/>
      <c r="AC3" s="1208"/>
      <c r="AD3" s="1208"/>
      <c r="AE3" s="1208"/>
      <c r="AF3" s="1208"/>
      <c r="AG3" s="1208"/>
      <c r="AH3" s="1208"/>
      <c r="AI3" s="1208"/>
      <c r="AJ3" s="1208"/>
      <c r="AK3" s="1208"/>
      <c r="AL3" s="1208"/>
      <c r="AM3" s="1208"/>
      <c r="AN3" s="1208"/>
      <c r="AO3" s="1208"/>
      <c r="AP3" s="1208"/>
      <c r="AQ3" s="1208"/>
      <c r="AR3" s="1208"/>
      <c r="AS3" s="1208"/>
      <c r="AT3" s="1208"/>
      <c r="AU3" s="1208"/>
      <c r="AV3" s="1208"/>
      <c r="AW3" s="1208"/>
      <c r="AX3" s="2171" t="s">
        <v>2588</v>
      </c>
      <c r="AY3" s="2172"/>
      <c r="AZ3" s="2172"/>
      <c r="BA3" s="2323"/>
      <c r="BB3" s="2171" t="s">
        <v>2589</v>
      </c>
      <c r="BC3" s="2172"/>
      <c r="BD3" s="2172"/>
      <c r="BE3" s="2323"/>
    </row>
    <row r="4" spans="1:65" ht="15.75" customHeight="1" thickBot="1">
      <c r="A4" s="1207"/>
      <c r="B4" s="1209" t="s">
        <v>656</v>
      </c>
      <c r="C4" s="1209"/>
      <c r="D4" s="1209"/>
      <c r="E4" s="1209"/>
      <c r="F4" s="1209"/>
      <c r="G4" s="1208"/>
      <c r="H4" s="1208"/>
      <c r="I4" s="1208"/>
      <c r="J4" s="1208"/>
      <c r="K4" s="1208"/>
      <c r="L4" s="2314" t="str">
        <f>IF(Application!H18="","",Application!H18)</f>
        <v>Park Street Apartments</v>
      </c>
      <c r="M4" s="2315"/>
      <c r="N4" s="2315"/>
      <c r="O4" s="2315"/>
      <c r="P4" s="2315"/>
      <c r="Q4" s="2315"/>
      <c r="R4" s="2315"/>
      <c r="S4" s="2315"/>
      <c r="T4" s="2315"/>
      <c r="U4" s="2315"/>
      <c r="V4" s="2315"/>
      <c r="W4" s="2315"/>
      <c r="X4" s="2315"/>
      <c r="Y4" s="2315"/>
      <c r="Z4" s="2315"/>
      <c r="AA4" s="2315"/>
      <c r="AB4" s="2315"/>
      <c r="AC4" s="2316"/>
      <c r="AD4" s="1208"/>
      <c r="AE4" s="1208"/>
      <c r="AF4" s="2303" t="s">
        <v>2386</v>
      </c>
      <c r="AG4" s="2303"/>
      <c r="AH4" s="2303"/>
      <c r="AI4" s="2303"/>
      <c r="AJ4" s="2303"/>
      <c r="AK4" s="2303"/>
      <c r="AL4" s="2303"/>
      <c r="AM4" s="2303"/>
      <c r="AN4" s="2303"/>
      <c r="AO4" s="2303"/>
      <c r="AP4" s="2304"/>
      <c r="AQ4" s="2305"/>
      <c r="AR4" s="2305"/>
      <c r="AS4" s="2305"/>
      <c r="AT4" s="2305"/>
      <c r="AU4" s="2305"/>
      <c r="AV4" s="1208"/>
      <c r="AW4" s="1208"/>
      <c r="AX4" s="2311" t="s">
        <v>2590</v>
      </c>
      <c r="AY4" s="2312"/>
      <c r="AZ4" s="2312"/>
      <c r="BA4" s="2313"/>
      <c r="BB4" s="1210">
        <f t="array" ref="BB4">ROUNDDOWN(SUM(IF((B19:I27&gt;0)*(B19:I27&lt;=30%),J19:O27,0))/J29,2)</f>
        <v>0.14000000000000001</v>
      </c>
      <c r="BC4" s="1211"/>
      <c r="BD4" s="1211"/>
      <c r="BE4" s="1212"/>
    </row>
    <row r="5" spans="1:65" thickBot="1">
      <c r="A5" s="1207"/>
      <c r="B5" s="1208"/>
      <c r="C5" s="1208"/>
      <c r="D5" s="1208"/>
      <c r="E5" s="1208"/>
      <c r="F5" s="1208"/>
      <c r="G5" s="1208"/>
      <c r="H5" s="1208"/>
      <c r="I5" s="1208"/>
      <c r="J5" s="1208"/>
      <c r="K5" s="1208"/>
      <c r="L5" s="1208"/>
      <c r="M5" s="1208"/>
      <c r="N5" s="1208"/>
      <c r="O5" s="1208"/>
      <c r="P5" s="1208"/>
      <c r="Q5" s="1208"/>
      <c r="R5" s="1208"/>
      <c r="S5" s="1208"/>
      <c r="T5" s="1208"/>
      <c r="U5" s="1208"/>
      <c r="V5" s="1208"/>
      <c r="W5" s="1208"/>
      <c r="X5" s="1208"/>
      <c r="Y5" s="1208"/>
      <c r="Z5" s="1208"/>
      <c r="AA5" s="1208"/>
      <c r="AB5" s="1208"/>
      <c r="AC5" s="1208"/>
      <c r="AD5" s="1208"/>
      <c r="AE5" s="1208"/>
      <c r="AF5" s="2303" t="s">
        <v>2385</v>
      </c>
      <c r="AG5" s="2303"/>
      <c r="AH5" s="2303"/>
      <c r="AI5" s="2303"/>
      <c r="AJ5" s="2303"/>
      <c r="AK5" s="2303"/>
      <c r="AL5" s="2303"/>
      <c r="AM5" s="2303"/>
      <c r="AN5" s="2303"/>
      <c r="AO5" s="2303"/>
      <c r="AP5" s="2304"/>
      <c r="AQ5" s="2305"/>
      <c r="AR5" s="2305"/>
      <c r="AS5" s="2305"/>
      <c r="AT5" s="2305"/>
      <c r="AU5" s="2305"/>
      <c r="AV5" s="1208"/>
      <c r="AW5" s="1208"/>
      <c r="AX5" s="2311" t="s">
        <v>2591</v>
      </c>
      <c r="AY5" s="2312"/>
      <c r="AZ5" s="2312"/>
      <c r="BA5" s="2313"/>
      <c r="BB5" s="1210">
        <f t="array" ref="BB5">ROUNDDOWN(SUM(IF((B19:I27&gt;0%)*(B19:I27&lt;=50%),J19:O27,0))/J29,2)</f>
        <v>0.34</v>
      </c>
      <c r="BC5" s="1211"/>
      <c r="BD5" s="1211"/>
      <c r="BE5" s="1212"/>
    </row>
    <row r="6" spans="1:65" ht="15.75" customHeight="1" thickBot="1">
      <c r="A6" s="1207"/>
      <c r="B6" s="1209" t="s">
        <v>2384</v>
      </c>
      <c r="C6" s="1208"/>
      <c r="D6" s="1208"/>
      <c r="E6" s="1208"/>
      <c r="F6" s="1208"/>
      <c r="G6" s="1208"/>
      <c r="H6" s="1208"/>
      <c r="I6" s="1208"/>
      <c r="J6" s="1208"/>
      <c r="K6" s="1208"/>
      <c r="L6" s="2314" t="str">
        <f>IF(Application!H16="","",Application!H16)</f>
        <v>Moraga Park Street LP</v>
      </c>
      <c r="M6" s="2315"/>
      <c r="N6" s="2315"/>
      <c r="O6" s="2315"/>
      <c r="P6" s="2315"/>
      <c r="Q6" s="2315"/>
      <c r="R6" s="2315"/>
      <c r="S6" s="2315"/>
      <c r="T6" s="2315"/>
      <c r="U6" s="2315"/>
      <c r="V6" s="2315"/>
      <c r="W6" s="2315"/>
      <c r="X6" s="2315"/>
      <c r="Y6" s="2315"/>
      <c r="Z6" s="2315"/>
      <c r="AA6" s="2315"/>
      <c r="AB6" s="2315"/>
      <c r="AC6" s="2316"/>
      <c r="AD6" s="1208"/>
      <c r="AE6" s="1208"/>
      <c r="AF6" s="2306" t="s">
        <v>2383</v>
      </c>
      <c r="AG6" s="2306"/>
      <c r="AH6" s="2306"/>
      <c r="AI6" s="2306"/>
      <c r="AJ6" s="2306"/>
      <c r="AK6" s="2306"/>
      <c r="AL6" s="2306"/>
      <c r="AM6" s="2306"/>
      <c r="AN6" s="2306"/>
      <c r="AO6" s="2306"/>
      <c r="AP6" s="2307"/>
      <c r="AQ6" s="2307"/>
      <c r="AR6" s="2307"/>
      <c r="AS6" s="2307"/>
      <c r="AT6" s="2307"/>
      <c r="AU6" s="2307"/>
      <c r="AV6" s="1208"/>
      <c r="AW6" s="1208"/>
      <c r="AX6" s="2311" t="s">
        <v>2592</v>
      </c>
      <c r="AY6" s="2312"/>
      <c r="AZ6" s="2312"/>
      <c r="BA6" s="2313"/>
      <c r="BB6" s="1210">
        <f t="array" ref="BB6">ROUNDDOWN(SUM(IF((B19:I27&gt;60%)*(B19:I27&lt;=80%),J19:O27,0))/J29,2)</f>
        <v>0.32</v>
      </c>
      <c r="BC6" s="1211"/>
      <c r="BD6" s="1211"/>
      <c r="BE6" s="1212"/>
    </row>
    <row r="7" spans="1:65" thickBot="1">
      <c r="A7" s="1207"/>
      <c r="B7" s="1208"/>
      <c r="C7" s="1208"/>
      <c r="D7" s="1208"/>
      <c r="E7" s="1208"/>
      <c r="F7" s="1208"/>
      <c r="G7" s="1208"/>
      <c r="H7" s="1208"/>
      <c r="I7" s="1208"/>
      <c r="J7" s="1208"/>
      <c r="K7" s="1208"/>
      <c r="L7" s="1208"/>
      <c r="M7" s="1208"/>
      <c r="N7" s="1208"/>
      <c r="O7" s="1208"/>
      <c r="P7" s="1208"/>
      <c r="Q7" s="1208"/>
      <c r="R7" s="1208"/>
      <c r="S7" s="1208"/>
      <c r="T7" s="1208"/>
      <c r="U7" s="1208"/>
      <c r="V7" s="1208"/>
      <c r="W7" s="1208"/>
      <c r="X7" s="1208"/>
      <c r="Y7" s="1208"/>
      <c r="Z7" s="1208"/>
      <c r="AA7" s="1208"/>
      <c r="AB7" s="1208"/>
      <c r="AC7" s="1208"/>
      <c r="AD7" s="1208"/>
      <c r="AE7" s="1208"/>
      <c r="AF7" s="2306" t="s">
        <v>2382</v>
      </c>
      <c r="AG7" s="2306"/>
      <c r="AH7" s="2306"/>
      <c r="AI7" s="2306"/>
      <c r="AJ7" s="2306"/>
      <c r="AK7" s="2306"/>
      <c r="AL7" s="2306"/>
      <c r="AM7" s="2306"/>
      <c r="AN7" s="2306"/>
      <c r="AO7" s="2306"/>
      <c r="AP7" s="2307"/>
      <c r="AQ7" s="2307"/>
      <c r="AR7" s="2307"/>
      <c r="AS7" s="2307"/>
      <c r="AT7" s="2307"/>
      <c r="AU7" s="2307"/>
      <c r="AV7" s="1208"/>
      <c r="AW7" s="1208"/>
      <c r="AX7" s="1208"/>
      <c r="AY7" s="1208"/>
      <c r="AZ7" s="1208"/>
      <c r="BA7" s="1208"/>
      <c r="BB7" s="1208"/>
      <c r="BC7" s="1208"/>
      <c r="BD7" s="1208"/>
      <c r="BE7" s="1213"/>
    </row>
    <row r="8" spans="1:65" thickBot="1">
      <c r="A8" s="1207"/>
      <c r="B8" s="1209" t="s">
        <v>2629</v>
      </c>
      <c r="C8" s="1208"/>
      <c r="D8" s="1208"/>
      <c r="E8" s="1208"/>
      <c r="F8" s="1208"/>
      <c r="G8" s="1208"/>
      <c r="H8" s="1208"/>
      <c r="I8" s="1208"/>
      <c r="J8" s="1208"/>
      <c r="K8" s="1208"/>
      <c r="L8" s="1208"/>
      <c r="M8" s="1208"/>
      <c r="N8" s="1208"/>
      <c r="O8" s="1208"/>
      <c r="P8" s="1208"/>
      <c r="Q8" s="1208"/>
      <c r="R8" s="1208"/>
      <c r="S8" s="1208"/>
      <c r="T8" s="1208"/>
      <c r="U8" s="1208"/>
      <c r="V8" s="1208"/>
      <c r="W8" s="1208"/>
      <c r="X8" s="1208"/>
      <c r="Y8" s="1208"/>
      <c r="Z8" s="1208"/>
      <c r="AA8" s="1208"/>
      <c r="AB8" s="2308" t="str">
        <f>Application!T197</f>
        <v>No</v>
      </c>
      <c r="AC8" s="2309"/>
      <c r="AD8" s="2310"/>
      <c r="AE8" s="1208"/>
      <c r="AF8" s="2306" t="s">
        <v>2381</v>
      </c>
      <c r="AG8" s="2306"/>
      <c r="AH8" s="2306"/>
      <c r="AI8" s="2306"/>
      <c r="AJ8" s="2306"/>
      <c r="AK8" s="2306"/>
      <c r="AL8" s="2306"/>
      <c r="AM8" s="2306"/>
      <c r="AN8" s="2306"/>
      <c r="AO8" s="2306"/>
      <c r="AP8" s="2307" t="s">
        <v>2053</v>
      </c>
      <c r="AQ8" s="2307"/>
      <c r="AR8" s="2307"/>
      <c r="AS8" s="2307"/>
      <c r="AT8" s="2307"/>
      <c r="AU8" s="2307"/>
      <c r="AV8" s="1208"/>
      <c r="AW8" s="1208"/>
      <c r="AX8" s="1208"/>
      <c r="AY8" s="1208"/>
      <c r="AZ8" s="1208"/>
      <c r="BA8" s="1208"/>
      <c r="BB8" s="1208"/>
      <c r="BC8" s="1208"/>
      <c r="BD8" s="1208"/>
      <c r="BE8" s="1213"/>
      <c r="BM8" s="1204" t="s">
        <v>1956</v>
      </c>
    </row>
    <row r="9" spans="1:65" ht="15">
      <c r="A9" s="1208"/>
      <c r="B9" s="1208"/>
      <c r="C9" s="1208"/>
      <c r="D9" s="1208"/>
      <c r="E9" s="1208"/>
      <c r="F9" s="1208"/>
      <c r="G9" s="1208"/>
      <c r="H9" s="1208"/>
      <c r="I9" s="1208"/>
      <c r="J9" s="1208"/>
      <c r="K9" s="1208"/>
      <c r="L9" s="1208"/>
      <c r="M9" s="1208"/>
      <c r="N9" s="1208"/>
      <c r="O9" s="1208"/>
      <c r="P9" s="1208"/>
      <c r="Q9" s="1208"/>
      <c r="R9" s="1208"/>
      <c r="S9" s="1208"/>
      <c r="T9" s="1208"/>
      <c r="U9" s="1208"/>
      <c r="V9" s="1208"/>
      <c r="W9" s="1208"/>
      <c r="X9" s="1208"/>
      <c r="Y9" s="1208"/>
      <c r="Z9" s="1208"/>
      <c r="AA9" s="1208"/>
      <c r="AB9" s="1208"/>
      <c r="AC9" s="1208"/>
      <c r="AD9" s="1208"/>
      <c r="AE9" s="1208"/>
      <c r="AF9" s="2303" t="s">
        <v>2380</v>
      </c>
      <c r="AG9" s="2303"/>
      <c r="AH9" s="2303"/>
      <c r="AI9" s="2303"/>
      <c r="AJ9" s="2303"/>
      <c r="AK9" s="2303"/>
      <c r="AL9" s="2303"/>
      <c r="AM9" s="2303"/>
      <c r="AN9" s="2303"/>
      <c r="AO9" s="2303"/>
      <c r="AP9" s="2304"/>
      <c r="AQ9" s="2305"/>
      <c r="AR9" s="2305"/>
      <c r="AS9" s="2305"/>
      <c r="AT9" s="2305"/>
      <c r="AU9" s="2305"/>
      <c r="AV9" s="1208"/>
      <c r="AW9" s="1208"/>
      <c r="AX9" s="1208"/>
      <c r="AY9" s="1208"/>
      <c r="AZ9" s="1208"/>
      <c r="BA9" s="1208"/>
      <c r="BB9" s="1208"/>
      <c r="BC9" s="1208"/>
      <c r="BD9" s="1208"/>
      <c r="BE9" s="1213"/>
      <c r="BM9" s="1204" t="s">
        <v>2379</v>
      </c>
    </row>
    <row r="10" spans="1:65" ht="15">
      <c r="A10" s="1207"/>
      <c r="B10" s="1209" t="s">
        <v>2378</v>
      </c>
      <c r="C10" s="1209"/>
      <c r="D10" s="1209"/>
      <c r="E10" s="1209"/>
      <c r="F10" s="1209"/>
      <c r="G10" s="1209"/>
      <c r="H10" s="1209"/>
      <c r="I10" s="1209"/>
      <c r="J10" s="1209"/>
      <c r="K10" s="1209"/>
      <c r="L10" s="1209"/>
      <c r="M10" s="1208"/>
      <c r="N10" s="2302">
        <f>Application!AO635</f>
        <v>7703530</v>
      </c>
      <c r="O10" s="2302"/>
      <c r="P10" s="2302"/>
      <c r="Q10" s="2302"/>
      <c r="R10" s="2302"/>
      <c r="S10" s="2302"/>
      <c r="T10" s="2302"/>
      <c r="U10" s="1208"/>
      <c r="V10" s="1208"/>
      <c r="W10" s="1208"/>
      <c r="X10" s="1214"/>
      <c r="Y10" s="1214"/>
      <c r="Z10" s="1214"/>
      <c r="AA10" s="1214"/>
      <c r="AB10" s="1214"/>
      <c r="AC10" s="1214"/>
      <c r="AD10" s="1214"/>
      <c r="AE10" s="1214"/>
      <c r="AF10" s="2303" t="s">
        <v>2377</v>
      </c>
      <c r="AG10" s="2303"/>
      <c r="AH10" s="2303"/>
      <c r="AI10" s="2303"/>
      <c r="AJ10" s="2303"/>
      <c r="AK10" s="2303"/>
      <c r="AL10" s="2303"/>
      <c r="AM10" s="2303"/>
      <c r="AN10" s="2303"/>
      <c r="AO10" s="2303"/>
      <c r="AP10" s="2304"/>
      <c r="AQ10" s="2305"/>
      <c r="AR10" s="2305"/>
      <c r="AS10" s="2305"/>
      <c r="AT10" s="2305"/>
      <c r="AU10" s="2305"/>
      <c r="AV10" s="1214"/>
      <c r="AW10" s="1214"/>
      <c r="AX10" s="1208"/>
      <c r="AY10" s="1208"/>
      <c r="AZ10" s="1208"/>
      <c r="BA10" s="1208"/>
      <c r="BB10" s="1208"/>
      <c r="BC10" s="1208"/>
      <c r="BD10" s="1208"/>
      <c r="BE10" s="1213"/>
      <c r="BM10" s="1204" t="s">
        <v>2376</v>
      </c>
    </row>
    <row r="11" spans="1:65" ht="15">
      <c r="A11" s="1207"/>
      <c r="B11" s="1209" t="s">
        <v>2375</v>
      </c>
      <c r="C11" s="1209"/>
      <c r="D11" s="1209"/>
      <c r="E11" s="1209"/>
      <c r="F11" s="1209"/>
      <c r="G11" s="1209"/>
      <c r="H11" s="1209"/>
      <c r="I11" s="1209"/>
      <c r="J11" s="1209"/>
      <c r="K11" s="1209"/>
      <c r="L11" s="1209"/>
      <c r="M11" s="1208"/>
      <c r="N11" s="2302">
        <f>Application!AA943</f>
        <v>0</v>
      </c>
      <c r="O11" s="2302"/>
      <c r="P11" s="2302"/>
      <c r="Q11" s="2302"/>
      <c r="R11" s="2302"/>
      <c r="S11" s="2302"/>
      <c r="T11" s="2302"/>
      <c r="U11" s="1208"/>
      <c r="V11" s="1208"/>
      <c r="W11" s="1208"/>
      <c r="X11" s="1214"/>
      <c r="Y11" s="1214"/>
      <c r="Z11" s="1214"/>
      <c r="AA11" s="1214"/>
      <c r="AB11" s="1214"/>
      <c r="AC11" s="1214"/>
      <c r="AD11" s="1214"/>
      <c r="AE11" s="1214"/>
      <c r="AF11" s="2303" t="s">
        <v>2374</v>
      </c>
      <c r="AG11" s="2303"/>
      <c r="AH11" s="2303"/>
      <c r="AI11" s="2303"/>
      <c r="AJ11" s="2303"/>
      <c r="AK11" s="2303"/>
      <c r="AL11" s="2303"/>
      <c r="AM11" s="2303"/>
      <c r="AN11" s="2303"/>
      <c r="AO11" s="2303"/>
      <c r="AP11" s="2304"/>
      <c r="AQ11" s="2305"/>
      <c r="AR11" s="2305"/>
      <c r="AS11" s="2305"/>
      <c r="AT11" s="2305"/>
      <c r="AU11" s="2305"/>
      <c r="AV11" s="1214"/>
      <c r="AW11" s="1214"/>
      <c r="AX11" s="1208"/>
      <c r="AY11" s="1208"/>
      <c r="AZ11" s="1208"/>
      <c r="BA11" s="1208"/>
      <c r="BB11" s="1208"/>
      <c r="BC11" s="1208"/>
      <c r="BD11" s="1208"/>
      <c r="BE11" s="1213"/>
      <c r="BM11" s="1204" t="s">
        <v>2053</v>
      </c>
    </row>
    <row r="12" spans="1:65" thickBot="1">
      <c r="A12" s="1208"/>
      <c r="B12" s="1208"/>
      <c r="C12" s="1208"/>
      <c r="D12" s="1208"/>
      <c r="E12" s="1208"/>
      <c r="F12" s="1208"/>
      <c r="G12" s="1208"/>
      <c r="H12" s="1208"/>
      <c r="I12" s="1208"/>
      <c r="J12" s="1208"/>
      <c r="K12" s="1208"/>
      <c r="L12" s="1208"/>
      <c r="M12" s="1208"/>
      <c r="N12" s="1208"/>
      <c r="O12" s="1208"/>
      <c r="P12" s="1208"/>
      <c r="Q12" s="1208"/>
      <c r="R12" s="1208"/>
      <c r="S12" s="1208"/>
      <c r="T12" s="1208"/>
      <c r="U12" s="1208"/>
      <c r="V12" s="1208"/>
      <c r="W12" s="1208"/>
      <c r="X12" s="1214"/>
      <c r="Y12" s="1214"/>
      <c r="Z12" s="1214"/>
      <c r="AA12" s="1214"/>
      <c r="AB12" s="1214"/>
      <c r="AC12" s="1214"/>
      <c r="AD12" s="1214"/>
      <c r="AE12" s="1214"/>
      <c r="AF12" s="1214"/>
      <c r="AG12" s="1214"/>
      <c r="AH12" s="1214"/>
      <c r="AI12" s="1214"/>
      <c r="AJ12" s="1214"/>
      <c r="AK12" s="1214"/>
      <c r="AL12" s="1214"/>
      <c r="AM12" s="1214"/>
      <c r="AN12" s="1214"/>
      <c r="AO12" s="1214"/>
      <c r="AP12" s="1214"/>
      <c r="AQ12" s="1214"/>
      <c r="AR12" s="1214"/>
      <c r="AS12" s="1214"/>
      <c r="AT12" s="1214"/>
      <c r="AU12" s="1214"/>
      <c r="AV12" s="1208"/>
      <c r="AW12" s="1208"/>
      <c r="AX12" s="1208"/>
      <c r="AY12" s="1208"/>
      <c r="AZ12" s="1208"/>
      <c r="BA12" s="1208"/>
      <c r="BB12" s="1208"/>
      <c r="BC12" s="1208"/>
      <c r="BD12" s="1208"/>
      <c r="BE12" s="1215"/>
      <c r="BM12" s="1204" t="s">
        <v>2373</v>
      </c>
    </row>
    <row r="13" spans="1:65" thickBot="1">
      <c r="A13" s="1208"/>
      <c r="B13" s="2293" t="s">
        <v>2372</v>
      </c>
      <c r="C13" s="2294"/>
      <c r="D13" s="2294"/>
      <c r="E13" s="2294"/>
      <c r="F13" s="2294"/>
      <c r="G13" s="2294"/>
      <c r="H13" s="2294"/>
      <c r="I13" s="2294"/>
      <c r="J13" s="2294"/>
      <c r="K13" s="2294"/>
      <c r="L13" s="2294"/>
      <c r="M13" s="2294"/>
      <c r="N13" s="2294"/>
      <c r="O13" s="2294"/>
      <c r="P13" s="2295"/>
      <c r="Q13" s="2296" t="s">
        <v>669</v>
      </c>
      <c r="R13" s="2297"/>
      <c r="S13" s="2297"/>
      <c r="T13" s="2298"/>
      <c r="U13" s="1214"/>
      <c r="V13" s="1208"/>
      <c r="W13" s="1208"/>
      <c r="X13" s="1208"/>
      <c r="Y13" s="1208"/>
      <c r="Z13" s="1208"/>
      <c r="AA13" s="2283" t="s">
        <v>2371</v>
      </c>
      <c r="AB13" s="2283"/>
      <c r="AC13" s="2283"/>
      <c r="AD13" s="2283"/>
      <c r="AE13" s="2283"/>
      <c r="AF13" s="2283"/>
      <c r="AG13" s="2283"/>
      <c r="AH13" s="2283"/>
      <c r="AI13" s="2283"/>
      <c r="AJ13" s="2283"/>
      <c r="AK13" s="2283"/>
      <c r="AL13" s="2283"/>
      <c r="AM13" s="2283"/>
      <c r="AN13" s="2283"/>
      <c r="AO13" s="2299">
        <f>Application!W481</f>
        <v>0</v>
      </c>
      <c r="AP13" s="2300"/>
      <c r="AQ13" s="2300"/>
      <c r="AR13" s="2300"/>
      <c r="AS13" s="2300"/>
      <c r="AT13" s="1214"/>
      <c r="AU13" s="1214"/>
      <c r="AV13" s="1214"/>
      <c r="AW13" s="1214"/>
      <c r="AX13" s="1214"/>
      <c r="AY13" s="1214"/>
      <c r="AZ13" s="1214"/>
      <c r="BA13" s="1214"/>
      <c r="BB13" s="1214"/>
      <c r="BC13" s="1214"/>
      <c r="BD13" s="1214"/>
      <c r="BE13" s="1215"/>
      <c r="BM13" s="1204" t="s">
        <v>2370</v>
      </c>
    </row>
    <row r="14" spans="1:65" thickBot="1">
      <c r="A14" s="1208"/>
      <c r="B14" s="1208"/>
      <c r="C14" s="1208"/>
      <c r="D14" s="1208"/>
      <c r="E14" s="1208"/>
      <c r="F14" s="1208"/>
      <c r="G14" s="1208"/>
      <c r="H14" s="1208"/>
      <c r="I14" s="1208"/>
      <c r="J14" s="1208"/>
      <c r="K14" s="1208"/>
      <c r="L14" s="1208"/>
      <c r="M14" s="1208"/>
      <c r="N14" s="1208"/>
      <c r="O14" s="1208"/>
      <c r="P14" s="1208"/>
      <c r="Q14" s="1208"/>
      <c r="R14" s="1208"/>
      <c r="S14" s="1208"/>
      <c r="T14" s="1208"/>
      <c r="U14" s="1208"/>
      <c r="V14" s="1208"/>
      <c r="W14" s="1208"/>
      <c r="X14" s="1208"/>
      <c r="Y14" s="1208"/>
      <c r="Z14" s="1208"/>
      <c r="AA14" s="2301" t="s">
        <v>2369</v>
      </c>
      <c r="AB14" s="2301"/>
      <c r="AC14" s="2301"/>
      <c r="AD14" s="2301"/>
      <c r="AE14" s="2301"/>
      <c r="AF14" s="2301"/>
      <c r="AG14" s="2301"/>
      <c r="AH14" s="2301"/>
      <c r="AI14" s="2301"/>
      <c r="AJ14" s="2301"/>
      <c r="AK14" s="2301"/>
      <c r="AL14" s="2301"/>
      <c r="AM14" s="2301"/>
      <c r="AN14" s="2301"/>
      <c r="AO14" s="2284"/>
      <c r="AP14" s="2285"/>
      <c r="AQ14" s="2285"/>
      <c r="AR14" s="2285"/>
      <c r="AS14" s="2285"/>
      <c r="AT14" s="1214"/>
      <c r="AU14" s="1214"/>
      <c r="AV14" s="1214"/>
      <c r="AW14" s="1214"/>
      <c r="AX14" s="1214"/>
      <c r="AY14" s="1214"/>
      <c r="AZ14" s="1214"/>
      <c r="BA14" s="1214"/>
      <c r="BB14" s="1214"/>
      <c r="BC14" s="1214"/>
      <c r="BD14" s="1214"/>
      <c r="BE14" s="1215"/>
    </row>
    <row r="15" spans="1:65" thickBot="1">
      <c r="A15" s="1208"/>
      <c r="B15" s="2278" t="s">
        <v>2368</v>
      </c>
      <c r="C15" s="2279"/>
      <c r="D15" s="2279"/>
      <c r="E15" s="2279"/>
      <c r="F15" s="2279"/>
      <c r="G15" s="2279"/>
      <c r="H15" s="2279"/>
      <c r="I15" s="2279"/>
      <c r="J15" s="2279"/>
      <c r="K15" s="2279"/>
      <c r="L15" s="2279"/>
      <c r="M15" s="2279"/>
      <c r="N15" s="2279"/>
      <c r="O15" s="2279"/>
      <c r="P15" s="2279"/>
      <c r="Q15" s="2279"/>
      <c r="R15" s="2280"/>
      <c r="S15" s="2281">
        <f>IF(Application!AB215="","",Application!AB215)</f>
        <v>62</v>
      </c>
      <c r="T15" s="2281"/>
      <c r="U15" s="2281"/>
      <c r="V15" s="2281"/>
      <c r="W15" s="2282"/>
      <c r="X15" s="1214"/>
      <c r="Y15" s="1208"/>
      <c r="Z15" s="1208"/>
      <c r="AA15" s="2283" t="s">
        <v>2367</v>
      </c>
      <c r="AB15" s="2283"/>
      <c r="AC15" s="2283"/>
      <c r="AD15" s="2283"/>
      <c r="AE15" s="2283"/>
      <c r="AF15" s="2283"/>
      <c r="AG15" s="2283"/>
      <c r="AH15" s="2283"/>
      <c r="AI15" s="2283"/>
      <c r="AJ15" s="2283"/>
      <c r="AK15" s="2283"/>
      <c r="AL15" s="2283"/>
      <c r="AM15" s="2283"/>
      <c r="AN15" s="2283"/>
      <c r="AO15" s="2284"/>
      <c r="AP15" s="2285"/>
      <c r="AQ15" s="2285"/>
      <c r="AR15" s="2285"/>
      <c r="AS15" s="2285"/>
      <c r="AT15" s="1214"/>
      <c r="AU15" s="1214"/>
      <c r="AV15" s="1214"/>
      <c r="AW15" s="1214"/>
      <c r="AX15" s="1214"/>
      <c r="AY15" s="1214"/>
      <c r="AZ15" s="1214"/>
      <c r="BA15" s="1214"/>
      <c r="BB15" s="1214"/>
      <c r="BC15" s="1214"/>
      <c r="BD15" s="1214"/>
      <c r="BE15" s="1215"/>
    </row>
    <row r="16" spans="1:65" thickBot="1">
      <c r="A16" s="1207"/>
      <c r="B16" s="1208"/>
      <c r="C16" s="1208"/>
      <c r="D16" s="1208"/>
      <c r="E16" s="1208"/>
      <c r="F16" s="1208"/>
      <c r="G16" s="1208"/>
      <c r="H16" s="1208"/>
      <c r="I16" s="1208"/>
      <c r="J16" s="1208"/>
      <c r="K16" s="1208"/>
      <c r="L16" s="1208"/>
      <c r="M16" s="1208"/>
      <c r="N16" s="1208"/>
      <c r="O16" s="1208"/>
      <c r="P16" s="1208"/>
      <c r="Q16" s="1208"/>
      <c r="R16" s="1208"/>
      <c r="S16" s="1208"/>
      <c r="T16" s="1208"/>
      <c r="U16" s="1208"/>
      <c r="V16" s="1208"/>
      <c r="W16" s="1208"/>
      <c r="X16" s="1208"/>
      <c r="Y16" s="1208"/>
      <c r="Z16" s="1208"/>
      <c r="AA16" s="1208"/>
      <c r="AB16" s="1208"/>
      <c r="AC16" s="1208"/>
      <c r="AD16" s="1208"/>
      <c r="AE16" s="1208"/>
      <c r="AF16" s="1208"/>
      <c r="AG16" s="1208"/>
      <c r="AH16" s="1208"/>
      <c r="AI16" s="1208"/>
      <c r="AJ16" s="1208"/>
      <c r="AK16" s="1208"/>
      <c r="AL16" s="1208"/>
      <c r="AM16" s="1208"/>
      <c r="AN16" s="1208"/>
      <c r="AO16" s="1208"/>
      <c r="AP16" s="1208"/>
      <c r="AQ16" s="1208"/>
      <c r="AR16" s="1208"/>
      <c r="AS16" s="1208"/>
      <c r="AT16" s="1208"/>
      <c r="AU16" s="1208"/>
      <c r="AV16" s="1208"/>
      <c r="AW16" s="1208"/>
      <c r="AX16" s="1208"/>
      <c r="AY16" s="1208"/>
      <c r="AZ16" s="1208"/>
      <c r="BA16" s="1208"/>
      <c r="BB16" s="1208"/>
      <c r="BC16" s="1208"/>
      <c r="BD16" s="1208"/>
      <c r="BE16" s="1215"/>
    </row>
    <row r="17" spans="1:58" ht="15">
      <c r="A17" s="1208"/>
      <c r="B17" s="2106" t="s">
        <v>2366</v>
      </c>
      <c r="C17" s="2107"/>
      <c r="D17" s="2107"/>
      <c r="E17" s="2107"/>
      <c r="F17" s="2107"/>
      <c r="G17" s="2107"/>
      <c r="H17" s="2107"/>
      <c r="I17" s="2107"/>
      <c r="J17" s="2107"/>
      <c r="K17" s="2107"/>
      <c r="L17" s="2107"/>
      <c r="M17" s="2107"/>
      <c r="N17" s="2107"/>
      <c r="O17" s="2107"/>
      <c r="P17" s="2107"/>
      <c r="Q17" s="2107"/>
      <c r="R17" s="2107"/>
      <c r="S17" s="2107"/>
      <c r="T17" s="2107"/>
      <c r="U17" s="2107"/>
      <c r="V17" s="2107"/>
      <c r="W17" s="2107"/>
      <c r="X17" s="2107"/>
      <c r="Y17" s="2107"/>
      <c r="Z17" s="2107"/>
      <c r="AA17" s="2107"/>
      <c r="AB17" s="2107"/>
      <c r="AC17" s="2107"/>
      <c r="AD17" s="2107"/>
      <c r="AE17" s="2107"/>
      <c r="AF17" s="2107"/>
      <c r="AG17" s="2107"/>
      <c r="AH17" s="2107"/>
      <c r="AI17" s="2107"/>
      <c r="AJ17" s="2107"/>
      <c r="AK17" s="2107"/>
      <c r="AL17" s="2107"/>
      <c r="AM17" s="2107"/>
      <c r="AN17" s="2107"/>
      <c r="AO17" s="2107"/>
      <c r="AP17" s="2107"/>
      <c r="AQ17" s="2107"/>
      <c r="AR17" s="2107"/>
      <c r="AS17" s="2107"/>
      <c r="AT17" s="2107"/>
      <c r="AU17" s="2107"/>
      <c r="AV17" s="2107"/>
      <c r="AW17" s="2107"/>
      <c r="AX17" s="2107"/>
      <c r="AY17" s="2108"/>
      <c r="AZ17" s="1208"/>
      <c r="BA17" s="1208"/>
      <c r="BB17" s="1208"/>
      <c r="BC17" s="1208"/>
      <c r="BD17" s="1208"/>
      <c r="BE17" s="1215"/>
      <c r="BF17" s="1206"/>
    </row>
    <row r="18" spans="1:58" ht="15.75" customHeight="1">
      <c r="A18" s="1208"/>
      <c r="B18" s="2286" t="s">
        <v>2365</v>
      </c>
      <c r="C18" s="2287"/>
      <c r="D18" s="2287"/>
      <c r="E18" s="2287"/>
      <c r="F18" s="2287"/>
      <c r="G18" s="2287"/>
      <c r="H18" s="2287"/>
      <c r="I18" s="2288"/>
      <c r="J18" s="2289" t="s">
        <v>1575</v>
      </c>
      <c r="K18" s="2290"/>
      <c r="L18" s="2290"/>
      <c r="M18" s="2290"/>
      <c r="N18" s="2290"/>
      <c r="O18" s="2291"/>
      <c r="P18" s="2289" t="s">
        <v>324</v>
      </c>
      <c r="Q18" s="2290"/>
      <c r="R18" s="2290"/>
      <c r="S18" s="2290"/>
      <c r="T18" s="2290"/>
      <c r="U18" s="2291"/>
      <c r="V18" s="2289" t="s">
        <v>325</v>
      </c>
      <c r="W18" s="2290"/>
      <c r="X18" s="2290"/>
      <c r="Y18" s="2290"/>
      <c r="Z18" s="2290"/>
      <c r="AA18" s="2291"/>
      <c r="AB18" s="2289" t="s">
        <v>163</v>
      </c>
      <c r="AC18" s="2290"/>
      <c r="AD18" s="2290"/>
      <c r="AE18" s="2290"/>
      <c r="AF18" s="2290"/>
      <c r="AG18" s="2291"/>
      <c r="AH18" s="2289" t="s">
        <v>164</v>
      </c>
      <c r="AI18" s="2290"/>
      <c r="AJ18" s="2290"/>
      <c r="AK18" s="2290"/>
      <c r="AL18" s="2290"/>
      <c r="AM18" s="2291"/>
      <c r="AN18" s="2289" t="s">
        <v>165</v>
      </c>
      <c r="AO18" s="2290"/>
      <c r="AP18" s="2290"/>
      <c r="AQ18" s="2290"/>
      <c r="AR18" s="2290"/>
      <c r="AS18" s="2291"/>
      <c r="AT18" s="2289" t="s">
        <v>2364</v>
      </c>
      <c r="AU18" s="2290"/>
      <c r="AV18" s="2290"/>
      <c r="AW18" s="2290"/>
      <c r="AX18" s="2290"/>
      <c r="AY18" s="2292"/>
      <c r="AZ18" s="1208"/>
      <c r="BA18" s="1208"/>
      <c r="BB18" s="1208"/>
      <c r="BC18" s="1208"/>
      <c r="BD18" s="1208"/>
      <c r="BE18" s="1215"/>
    </row>
    <row r="19" spans="1:58" ht="15">
      <c r="A19" s="1208"/>
      <c r="B19" s="2272">
        <v>0.3</v>
      </c>
      <c r="C19" s="2273"/>
      <c r="D19" s="2273"/>
      <c r="E19" s="2273"/>
      <c r="F19" s="2273"/>
      <c r="G19" s="2273"/>
      <c r="H19" s="2273"/>
      <c r="I19" s="2274"/>
      <c r="J19" s="2275">
        <f t="shared" ref="J19:J24" si="0">SUM(P19:AS19)</f>
        <v>7</v>
      </c>
      <c r="K19" s="2276"/>
      <c r="L19" s="2276"/>
      <c r="M19" s="2276"/>
      <c r="N19" s="2276"/>
      <c r="O19" s="2277"/>
      <c r="P19" s="2275" cm="1">
        <f t="array" ref="P19">SUMPRODUCT((Application!$B$726:$B$760 = 'CalHFA Addendum'!P$18)*(Application!$AC$726:$AC$760 = 'CalHFA Addendum'!$B19),Application!$G$726:$G$760)</f>
        <v>1</v>
      </c>
      <c r="Q19" s="2276"/>
      <c r="R19" s="2276"/>
      <c r="S19" s="2276"/>
      <c r="T19" s="2276"/>
      <c r="U19" s="2277"/>
      <c r="V19" s="2275" cm="1">
        <f t="array" ref="V19">SUMPRODUCT((Application!$B$726:$B$760 = 'CalHFA Addendum'!V$18)*(Application!$AC$726:$AC$760 = 'CalHFA Addendum'!$B19),Application!$G$726:$G$760)</f>
        <v>5</v>
      </c>
      <c r="W19" s="2276"/>
      <c r="X19" s="2276"/>
      <c r="Y19" s="2276"/>
      <c r="Z19" s="2276"/>
      <c r="AA19" s="2277"/>
      <c r="AB19" s="2275" cm="1">
        <f t="array" ref="AB19">SUMPRODUCT((Application!$B$726:$B$760 = 'CalHFA Addendum'!AB$18)*(Application!$AC$726:$AC$760 = 'CalHFA Addendum'!$B19),Application!$G$726:$G$760)</f>
        <v>1</v>
      </c>
      <c r="AC19" s="2276"/>
      <c r="AD19" s="2276"/>
      <c r="AE19" s="2276"/>
      <c r="AF19" s="2276"/>
      <c r="AG19" s="2277"/>
      <c r="AH19" s="2275" cm="1">
        <f t="array" ref="AH19">SUMPRODUCT((Application!$B$726:$B$760 = 'CalHFA Addendum'!AH$18)*(Application!$AC$726:$AC$760 = 'CalHFA Addendum'!$B19),Application!$G$726:$G$760)</f>
        <v>0</v>
      </c>
      <c r="AI19" s="2276"/>
      <c r="AJ19" s="2276"/>
      <c r="AK19" s="2276"/>
      <c r="AL19" s="2276"/>
      <c r="AM19" s="2277"/>
      <c r="AN19" s="2275" cm="1">
        <f t="array" ref="AN19">SUMPRODUCT((Application!$B$726:$B$760 = 'CalHFA Addendum'!AN$18)*(Application!$AC$726:$AC$760 = 'CalHFA Addendum'!$B19),Application!$G$726:$G$760)</f>
        <v>0</v>
      </c>
      <c r="AO19" s="2276"/>
      <c r="AP19" s="2276"/>
      <c r="AQ19" s="2276"/>
      <c r="AR19" s="2276"/>
      <c r="AS19" s="2277"/>
      <c r="AT19" s="2260">
        <f>J19/$J$29</f>
        <v>0.14285714285714285</v>
      </c>
      <c r="AU19" s="2261"/>
      <c r="AV19" s="2261"/>
      <c r="AW19" s="2261"/>
      <c r="AX19" s="2261"/>
      <c r="AY19" s="2262"/>
      <c r="AZ19" s="1216"/>
      <c r="BA19" s="1208"/>
      <c r="BB19" s="1208"/>
      <c r="BC19" s="1208"/>
      <c r="BD19" s="1208"/>
      <c r="BE19" s="1215"/>
    </row>
    <row r="20" spans="1:58" ht="15" customHeight="1">
      <c r="A20" s="1208"/>
      <c r="B20" s="2272">
        <v>0.4</v>
      </c>
      <c r="C20" s="2273"/>
      <c r="D20" s="2273"/>
      <c r="E20" s="2273"/>
      <c r="F20" s="2273"/>
      <c r="G20" s="2273"/>
      <c r="H20" s="2273"/>
      <c r="I20" s="2274"/>
      <c r="J20" s="2275">
        <f t="shared" si="0"/>
        <v>4</v>
      </c>
      <c r="K20" s="2276"/>
      <c r="L20" s="2276"/>
      <c r="M20" s="2276"/>
      <c r="N20" s="2276"/>
      <c r="O20" s="2277"/>
      <c r="P20" s="2275" cm="1">
        <f t="array" ref="P20">SUMPRODUCT((Application!$B$726:$B$760 = 'CalHFA Addendum'!P$18)*(Application!$AC$726:$AC$760 = 'CalHFA Addendum'!$B20),Application!$G$726:$G$760)</f>
        <v>0</v>
      </c>
      <c r="Q20" s="2276"/>
      <c r="R20" s="2276"/>
      <c r="S20" s="2276"/>
      <c r="T20" s="2276"/>
      <c r="U20" s="2277"/>
      <c r="V20" s="2275" cm="1">
        <f t="array" ref="V20">SUMPRODUCT((Application!$B$726:$B$760 = 'CalHFA Addendum'!V$18)*(Application!$AC$726:$AC$760 = 'CalHFA Addendum'!$B20),Application!$G$726:$G$760)</f>
        <v>4</v>
      </c>
      <c r="W20" s="2276"/>
      <c r="X20" s="2276"/>
      <c r="Y20" s="2276"/>
      <c r="Z20" s="2276"/>
      <c r="AA20" s="2277"/>
      <c r="AB20" s="2275" cm="1">
        <f t="array" ref="AB20">SUMPRODUCT((Application!$B$726:$B$760 = 'CalHFA Addendum'!AB$18)*(Application!$AC$726:$AC$760 = 'CalHFA Addendum'!$B20),Application!$G$726:$G$760)</f>
        <v>0</v>
      </c>
      <c r="AC20" s="2276"/>
      <c r="AD20" s="2276"/>
      <c r="AE20" s="2276"/>
      <c r="AF20" s="2276"/>
      <c r="AG20" s="2277"/>
      <c r="AH20" s="2275" cm="1">
        <f t="array" ref="AH20">SUMPRODUCT((Application!$B$726:$B$760 = 'CalHFA Addendum'!AH$18)*(Application!$AC$726:$AC$760 = 'CalHFA Addendum'!$B20),Application!$G$726:$G$760)</f>
        <v>0</v>
      </c>
      <c r="AI20" s="2276"/>
      <c r="AJ20" s="2276"/>
      <c r="AK20" s="2276"/>
      <c r="AL20" s="2276"/>
      <c r="AM20" s="2277"/>
      <c r="AN20" s="2275" cm="1">
        <f t="array" ref="AN20">SUMPRODUCT((Application!$B$726:$B$760 = 'CalHFA Addendum'!AN$18)*(Application!$AC$726:$AC$760 = 'CalHFA Addendum'!$B20),Application!$G$726:$G$760)</f>
        <v>0</v>
      </c>
      <c r="AO20" s="2276"/>
      <c r="AP20" s="2276"/>
      <c r="AQ20" s="2276"/>
      <c r="AR20" s="2276"/>
      <c r="AS20" s="2277"/>
      <c r="AT20" s="2260">
        <f t="shared" ref="AT20:AT29" si="1">J20/$J$29</f>
        <v>8.1632653061224483E-2</v>
      </c>
      <c r="AU20" s="2261"/>
      <c r="AV20" s="2261"/>
      <c r="AW20" s="2261"/>
      <c r="AX20" s="2261"/>
      <c r="AY20" s="2262"/>
      <c r="AZ20" s="1208"/>
      <c r="BA20" s="1208"/>
      <c r="BB20" s="1208"/>
      <c r="BC20" s="1208"/>
      <c r="BD20" s="1208"/>
      <c r="BE20" s="1215"/>
    </row>
    <row r="21" spans="1:58" ht="15">
      <c r="A21" s="1208"/>
      <c r="B21" s="2272">
        <v>0.5</v>
      </c>
      <c r="C21" s="2273"/>
      <c r="D21" s="2273"/>
      <c r="E21" s="2273"/>
      <c r="F21" s="2273"/>
      <c r="G21" s="2273"/>
      <c r="H21" s="2273"/>
      <c r="I21" s="2274"/>
      <c r="J21" s="2275">
        <f t="shared" si="0"/>
        <v>6</v>
      </c>
      <c r="K21" s="2276"/>
      <c r="L21" s="2276"/>
      <c r="M21" s="2276"/>
      <c r="N21" s="2276"/>
      <c r="O21" s="2277"/>
      <c r="P21" s="2275" cm="1">
        <f t="array" ref="P21">SUMPRODUCT((Application!$B$726:$B$760 = 'CalHFA Addendum'!P$18)*(Application!$AC$726:$AC$760 = 'CalHFA Addendum'!$B21),Application!$G$726:$G$760)</f>
        <v>0</v>
      </c>
      <c r="Q21" s="2276"/>
      <c r="R21" s="2276"/>
      <c r="S21" s="2276"/>
      <c r="T21" s="2276"/>
      <c r="U21" s="2277"/>
      <c r="V21" s="2275" cm="1">
        <f t="array" ref="V21">SUMPRODUCT((Application!$B$726:$B$760 = 'CalHFA Addendum'!V$18)*(Application!$AC$726:$AC$760 = 'CalHFA Addendum'!$B21),Application!$G$726:$G$760)</f>
        <v>5</v>
      </c>
      <c r="W21" s="2276"/>
      <c r="X21" s="2276"/>
      <c r="Y21" s="2276"/>
      <c r="Z21" s="2276"/>
      <c r="AA21" s="2277"/>
      <c r="AB21" s="2275" cm="1">
        <f t="array" ref="AB21">SUMPRODUCT((Application!$B$726:$B$760 = 'CalHFA Addendum'!AB$18)*(Application!$AC$726:$AC$760 = 'CalHFA Addendum'!$B21),Application!$G$726:$G$760)</f>
        <v>1</v>
      </c>
      <c r="AC21" s="2276"/>
      <c r="AD21" s="2276"/>
      <c r="AE21" s="2276"/>
      <c r="AF21" s="2276"/>
      <c r="AG21" s="2277"/>
      <c r="AH21" s="2275" cm="1">
        <f t="array" ref="AH21">SUMPRODUCT((Application!$B$726:$B$760 = 'CalHFA Addendum'!AH$18)*(Application!$AC$726:$AC$760 = 'CalHFA Addendum'!$B21),Application!$G$726:$G$760)</f>
        <v>0</v>
      </c>
      <c r="AI21" s="2276"/>
      <c r="AJ21" s="2276"/>
      <c r="AK21" s="2276"/>
      <c r="AL21" s="2276"/>
      <c r="AM21" s="2277"/>
      <c r="AN21" s="2275" cm="1">
        <f t="array" ref="AN21">SUMPRODUCT((Application!$B$726:$B$760 = 'CalHFA Addendum'!AN$18)*(Application!$AC$726:$AC$760 = 'CalHFA Addendum'!$B21),Application!$G$726:$G$760)</f>
        <v>0</v>
      </c>
      <c r="AO21" s="2276"/>
      <c r="AP21" s="2276"/>
      <c r="AQ21" s="2276"/>
      <c r="AR21" s="2276"/>
      <c r="AS21" s="2277"/>
      <c r="AT21" s="2260">
        <f t="shared" si="1"/>
        <v>0.12244897959183673</v>
      </c>
      <c r="AU21" s="2261"/>
      <c r="AV21" s="2261"/>
      <c r="AW21" s="2261"/>
      <c r="AX21" s="2261"/>
      <c r="AY21" s="2262"/>
      <c r="AZ21" s="1208"/>
      <c r="BA21" s="1208"/>
      <c r="BB21" s="1208"/>
      <c r="BC21" s="1208"/>
      <c r="BD21" s="1208"/>
      <c r="BE21" s="1215"/>
    </row>
    <row r="22" spans="1:58" ht="15">
      <c r="A22" s="1208"/>
      <c r="B22" s="2272">
        <v>0.6</v>
      </c>
      <c r="C22" s="2273"/>
      <c r="D22" s="2273"/>
      <c r="E22" s="2273"/>
      <c r="F22" s="2273"/>
      <c r="G22" s="2273"/>
      <c r="H22" s="2273"/>
      <c r="I22" s="2274"/>
      <c r="J22" s="2275">
        <f t="shared" si="0"/>
        <v>15</v>
      </c>
      <c r="K22" s="2276"/>
      <c r="L22" s="2276"/>
      <c r="M22" s="2276"/>
      <c r="N22" s="2276"/>
      <c r="O22" s="2277"/>
      <c r="P22" s="2275" cm="1">
        <f t="array" ref="P22">SUMPRODUCT((Application!$B$726:$B$760 = 'CalHFA Addendum'!P$18)*(Application!$AC$726:$AC$760 = 'CalHFA Addendum'!$B22),Application!$G$726:$G$760)</f>
        <v>0</v>
      </c>
      <c r="Q22" s="2276"/>
      <c r="R22" s="2276"/>
      <c r="S22" s="2276"/>
      <c r="T22" s="2276"/>
      <c r="U22" s="2277"/>
      <c r="V22" s="2275" cm="1">
        <f t="array" ref="V22">SUMPRODUCT((Application!$B$726:$B$760 = 'CalHFA Addendum'!V$18)*(Application!$AC$726:$AC$760 = 'CalHFA Addendum'!$B22),Application!$G$726:$G$760)</f>
        <v>10</v>
      </c>
      <c r="W22" s="2276"/>
      <c r="X22" s="2276"/>
      <c r="Y22" s="2276"/>
      <c r="Z22" s="2276"/>
      <c r="AA22" s="2277"/>
      <c r="AB22" s="2275" cm="1">
        <f t="array" ref="AB22">SUMPRODUCT((Application!$B$726:$B$760 = 'CalHFA Addendum'!AB$18)*(Application!$AC$726:$AC$760 = 'CalHFA Addendum'!$B22),Application!$G$726:$G$760)</f>
        <v>5</v>
      </c>
      <c r="AC22" s="2276"/>
      <c r="AD22" s="2276"/>
      <c r="AE22" s="2276"/>
      <c r="AF22" s="2276"/>
      <c r="AG22" s="2277"/>
      <c r="AH22" s="2275" cm="1">
        <f t="array" ref="AH22">SUMPRODUCT((Application!$B$726:$B$760 = 'CalHFA Addendum'!AH$18)*(Application!$AC$726:$AC$760 = 'CalHFA Addendum'!$B22),Application!$G$726:$G$760)</f>
        <v>0</v>
      </c>
      <c r="AI22" s="2276"/>
      <c r="AJ22" s="2276"/>
      <c r="AK22" s="2276"/>
      <c r="AL22" s="2276"/>
      <c r="AM22" s="2277"/>
      <c r="AN22" s="2275" cm="1">
        <f t="array" ref="AN22">SUMPRODUCT((Application!$B$726:$B$760 = 'CalHFA Addendum'!AN$18)*(Application!$AC$726:$AC$760 = 'CalHFA Addendum'!$B22),Application!$G$726:$G$760)</f>
        <v>0</v>
      </c>
      <c r="AO22" s="2276"/>
      <c r="AP22" s="2276"/>
      <c r="AQ22" s="2276"/>
      <c r="AR22" s="2276"/>
      <c r="AS22" s="2277"/>
      <c r="AT22" s="2260">
        <f t="shared" si="1"/>
        <v>0.30612244897959184</v>
      </c>
      <c r="AU22" s="2261"/>
      <c r="AV22" s="2261"/>
      <c r="AW22" s="2261"/>
      <c r="AX22" s="2261"/>
      <c r="AY22" s="2262"/>
      <c r="AZ22" s="1208"/>
      <c r="BA22" s="1208"/>
      <c r="BB22" s="1208"/>
      <c r="BC22" s="1208"/>
      <c r="BD22" s="1208"/>
      <c r="BE22" s="1215"/>
    </row>
    <row r="23" spans="1:58" ht="15">
      <c r="A23" s="1208"/>
      <c r="B23" s="2272">
        <v>0.7</v>
      </c>
      <c r="C23" s="2273"/>
      <c r="D23" s="2273"/>
      <c r="E23" s="2273"/>
      <c r="F23" s="2273"/>
      <c r="G23" s="2273"/>
      <c r="H23" s="2273"/>
      <c r="I23" s="2274"/>
      <c r="J23" s="2275">
        <f t="shared" si="0"/>
        <v>0</v>
      </c>
      <c r="K23" s="2276"/>
      <c r="L23" s="2276"/>
      <c r="M23" s="2276"/>
      <c r="N23" s="2276"/>
      <c r="O23" s="2277"/>
      <c r="P23" s="2275" cm="1">
        <f t="array" ref="P23">SUMPRODUCT((Application!$B$726:$B$760 = 'CalHFA Addendum'!P$18)*(Application!$AC$726:$AC$760 = 'CalHFA Addendum'!$B23),Application!$G$726:$G$760)</f>
        <v>0</v>
      </c>
      <c r="Q23" s="2276"/>
      <c r="R23" s="2276"/>
      <c r="S23" s="2276"/>
      <c r="T23" s="2276"/>
      <c r="U23" s="2277"/>
      <c r="V23" s="2275" cm="1">
        <f t="array" ref="V23">SUMPRODUCT((Application!$B$726:$B$760 = 'CalHFA Addendum'!V$18)*(Application!$AC$726:$AC$760 = 'CalHFA Addendum'!$B23),Application!$G$726:$G$760)</f>
        <v>0</v>
      </c>
      <c r="W23" s="2276"/>
      <c r="X23" s="2276"/>
      <c r="Y23" s="2276"/>
      <c r="Z23" s="2276"/>
      <c r="AA23" s="2277"/>
      <c r="AB23" s="2275" cm="1">
        <f t="array" ref="AB23">SUMPRODUCT((Application!$B$726:$B$760 = 'CalHFA Addendum'!AB$18)*(Application!$AC$726:$AC$760 = 'CalHFA Addendum'!$B23),Application!$G$726:$G$760)</f>
        <v>0</v>
      </c>
      <c r="AC23" s="2276"/>
      <c r="AD23" s="2276"/>
      <c r="AE23" s="2276"/>
      <c r="AF23" s="2276"/>
      <c r="AG23" s="2277"/>
      <c r="AH23" s="2275" cm="1">
        <f t="array" ref="AH23">SUMPRODUCT((Application!$B$726:$B$760 = 'CalHFA Addendum'!AH$18)*(Application!$AC$726:$AC$760 = 'CalHFA Addendum'!$B23),Application!$G$726:$G$760)</f>
        <v>0</v>
      </c>
      <c r="AI23" s="2276"/>
      <c r="AJ23" s="2276"/>
      <c r="AK23" s="2276"/>
      <c r="AL23" s="2276"/>
      <c r="AM23" s="2277"/>
      <c r="AN23" s="2275" cm="1">
        <f t="array" ref="AN23">SUMPRODUCT((Application!$B$726:$B$760 = 'CalHFA Addendum'!AN$18)*(Application!$AC$726:$AC$760 = 'CalHFA Addendum'!$B23),Application!$G$726:$G$760)</f>
        <v>0</v>
      </c>
      <c r="AO23" s="2276"/>
      <c r="AP23" s="2276"/>
      <c r="AQ23" s="2276"/>
      <c r="AR23" s="2276"/>
      <c r="AS23" s="2277"/>
      <c r="AT23" s="2260">
        <f t="shared" si="1"/>
        <v>0</v>
      </c>
      <c r="AU23" s="2261"/>
      <c r="AV23" s="2261"/>
      <c r="AW23" s="2261"/>
      <c r="AX23" s="2261"/>
      <c r="AY23" s="2262"/>
      <c r="AZ23" s="1208"/>
      <c r="BA23" s="1208"/>
      <c r="BB23" s="1208"/>
      <c r="BC23" s="1208"/>
      <c r="BD23" s="1208"/>
      <c r="BE23" s="1215"/>
    </row>
    <row r="24" spans="1:58" ht="15">
      <c r="A24" s="1208"/>
      <c r="B24" s="2272">
        <v>0.8</v>
      </c>
      <c r="C24" s="2273"/>
      <c r="D24" s="2273"/>
      <c r="E24" s="2273"/>
      <c r="F24" s="2273"/>
      <c r="G24" s="2273"/>
      <c r="H24" s="2273"/>
      <c r="I24" s="2274"/>
      <c r="J24" s="2275">
        <f t="shared" si="0"/>
        <v>16</v>
      </c>
      <c r="K24" s="2276"/>
      <c r="L24" s="2276"/>
      <c r="M24" s="2276"/>
      <c r="N24" s="2276"/>
      <c r="O24" s="2277"/>
      <c r="P24" s="2275" cm="1">
        <f t="array" ref="P24">SUMPRODUCT((Application!$B$726:$B$760 = 'CalHFA Addendum'!P$18)*(Application!$AC$726:$AC$760 = 'CalHFA Addendum'!$B24),Application!$G$726:$G$760)</f>
        <v>0</v>
      </c>
      <c r="Q24" s="2276"/>
      <c r="R24" s="2276"/>
      <c r="S24" s="2276"/>
      <c r="T24" s="2276"/>
      <c r="U24" s="2277"/>
      <c r="V24" s="2275" cm="1">
        <f t="array" ref="V24">SUMPRODUCT((Application!$B$726:$B$760 = 'CalHFA Addendum'!V$18)*(Application!$AC$726:$AC$760 = 'CalHFA Addendum'!$B24),Application!$G$726:$G$760)</f>
        <v>16</v>
      </c>
      <c r="W24" s="2276"/>
      <c r="X24" s="2276"/>
      <c r="Y24" s="2276"/>
      <c r="Z24" s="2276"/>
      <c r="AA24" s="2277"/>
      <c r="AB24" s="2275" cm="1">
        <f t="array" ref="AB24">SUMPRODUCT((Application!$B$726:$B$760 = 'CalHFA Addendum'!AB$18)*(Application!$AC$726:$AC$760 = 'CalHFA Addendum'!$B24),Application!$G$726:$G$760)</f>
        <v>0</v>
      </c>
      <c r="AC24" s="2276"/>
      <c r="AD24" s="2276"/>
      <c r="AE24" s="2276"/>
      <c r="AF24" s="2276"/>
      <c r="AG24" s="2277"/>
      <c r="AH24" s="2275" cm="1">
        <f t="array" ref="AH24">SUMPRODUCT((Application!$B$726:$B$760 = 'CalHFA Addendum'!AH$18)*(Application!$AC$726:$AC$760 = 'CalHFA Addendum'!$B24),Application!$G$726:$G$760)</f>
        <v>0</v>
      </c>
      <c r="AI24" s="2276"/>
      <c r="AJ24" s="2276"/>
      <c r="AK24" s="2276"/>
      <c r="AL24" s="2276"/>
      <c r="AM24" s="2277"/>
      <c r="AN24" s="2275" cm="1">
        <f t="array" ref="AN24">SUMPRODUCT((Application!$B$726:$B$760 = 'CalHFA Addendum'!AN$18)*(Application!$AC$726:$AC$760 = 'CalHFA Addendum'!$B24),Application!$G$726:$G$760)</f>
        <v>0</v>
      </c>
      <c r="AO24" s="2276"/>
      <c r="AP24" s="2276"/>
      <c r="AQ24" s="2276"/>
      <c r="AR24" s="2276"/>
      <c r="AS24" s="2277"/>
      <c r="AT24" s="2260">
        <f t="shared" si="1"/>
        <v>0.32653061224489793</v>
      </c>
      <c r="AU24" s="2261"/>
      <c r="AV24" s="2261"/>
      <c r="AW24" s="2261"/>
      <c r="AX24" s="2261"/>
      <c r="AY24" s="2262"/>
      <c r="AZ24" s="1208"/>
      <c r="BA24" s="1208"/>
      <c r="BB24" s="1208"/>
      <c r="BC24" s="1208"/>
      <c r="BD24" s="1208"/>
      <c r="BE24" s="1215"/>
    </row>
    <row r="25" spans="1:58" ht="15">
      <c r="A25" s="1208"/>
      <c r="B25" s="2272">
        <v>0.9</v>
      </c>
      <c r="C25" s="2273"/>
      <c r="D25" s="2273"/>
      <c r="E25" s="2273"/>
      <c r="F25" s="2273"/>
      <c r="G25" s="2273"/>
      <c r="H25" s="2273"/>
      <c r="I25" s="2274"/>
      <c r="J25" s="2257"/>
      <c r="K25" s="2258"/>
      <c r="L25" s="2258"/>
      <c r="M25" s="2258"/>
      <c r="N25" s="2258"/>
      <c r="O25" s="2259"/>
      <c r="P25" s="2257"/>
      <c r="Q25" s="2258"/>
      <c r="R25" s="2258"/>
      <c r="S25" s="2258"/>
      <c r="T25" s="2258"/>
      <c r="U25" s="2259"/>
      <c r="V25" s="2257"/>
      <c r="W25" s="2258"/>
      <c r="X25" s="2258"/>
      <c r="Y25" s="2258"/>
      <c r="Z25" s="2258"/>
      <c r="AA25" s="2259"/>
      <c r="AB25" s="2257"/>
      <c r="AC25" s="2258"/>
      <c r="AD25" s="2258"/>
      <c r="AE25" s="2258"/>
      <c r="AF25" s="2258"/>
      <c r="AG25" s="2259"/>
      <c r="AH25" s="2257"/>
      <c r="AI25" s="2258"/>
      <c r="AJ25" s="2258"/>
      <c r="AK25" s="2258"/>
      <c r="AL25" s="2258"/>
      <c r="AM25" s="2259"/>
      <c r="AN25" s="2257"/>
      <c r="AO25" s="2258"/>
      <c r="AP25" s="2258"/>
      <c r="AQ25" s="2258"/>
      <c r="AR25" s="2258"/>
      <c r="AS25" s="2259"/>
      <c r="AT25" s="2260">
        <f t="shared" si="1"/>
        <v>0</v>
      </c>
      <c r="AU25" s="2261"/>
      <c r="AV25" s="2261"/>
      <c r="AW25" s="2261"/>
      <c r="AX25" s="2261"/>
      <c r="AY25" s="2262"/>
      <c r="AZ25" s="1208"/>
      <c r="BA25" s="1208"/>
      <c r="BB25" s="1208"/>
      <c r="BC25" s="1208"/>
      <c r="BD25" s="1208"/>
      <c r="BE25" s="1215"/>
    </row>
    <row r="26" spans="1:58" ht="15">
      <c r="A26" s="1208"/>
      <c r="B26" s="2272">
        <v>1</v>
      </c>
      <c r="C26" s="2273"/>
      <c r="D26" s="2273"/>
      <c r="E26" s="2273"/>
      <c r="F26" s="2273"/>
      <c r="G26" s="2273"/>
      <c r="H26" s="2273"/>
      <c r="I26" s="2274"/>
      <c r="J26" s="2257"/>
      <c r="K26" s="2258"/>
      <c r="L26" s="2258"/>
      <c r="M26" s="2258"/>
      <c r="N26" s="2258"/>
      <c r="O26" s="2259"/>
      <c r="P26" s="2257"/>
      <c r="Q26" s="2258"/>
      <c r="R26" s="2258"/>
      <c r="S26" s="2258"/>
      <c r="T26" s="2258"/>
      <c r="U26" s="2259"/>
      <c r="V26" s="2257"/>
      <c r="W26" s="2258"/>
      <c r="X26" s="2258"/>
      <c r="Y26" s="2258"/>
      <c r="Z26" s="2258"/>
      <c r="AA26" s="2259"/>
      <c r="AB26" s="2257"/>
      <c r="AC26" s="2258"/>
      <c r="AD26" s="2258"/>
      <c r="AE26" s="2258"/>
      <c r="AF26" s="2258"/>
      <c r="AG26" s="2259"/>
      <c r="AH26" s="2257"/>
      <c r="AI26" s="2258"/>
      <c r="AJ26" s="2258"/>
      <c r="AK26" s="2258"/>
      <c r="AL26" s="2258"/>
      <c r="AM26" s="2259"/>
      <c r="AN26" s="2257"/>
      <c r="AO26" s="2258"/>
      <c r="AP26" s="2258"/>
      <c r="AQ26" s="2258"/>
      <c r="AR26" s="2258"/>
      <c r="AS26" s="2259"/>
      <c r="AT26" s="2260">
        <f t="shared" si="1"/>
        <v>0</v>
      </c>
      <c r="AU26" s="2261"/>
      <c r="AV26" s="2261"/>
      <c r="AW26" s="2261"/>
      <c r="AX26" s="2261"/>
      <c r="AY26" s="2262"/>
      <c r="AZ26" s="1208"/>
      <c r="BA26" s="1208"/>
      <c r="BB26" s="1208"/>
      <c r="BC26" s="1208"/>
      <c r="BD26" s="1208"/>
      <c r="BE26" s="1215"/>
    </row>
    <row r="27" spans="1:58" ht="15">
      <c r="A27" s="1208"/>
      <c r="B27" s="2272">
        <v>1.2</v>
      </c>
      <c r="C27" s="2273"/>
      <c r="D27" s="2273"/>
      <c r="E27" s="2273"/>
      <c r="F27" s="2273"/>
      <c r="G27" s="2273"/>
      <c r="H27" s="2273"/>
      <c r="I27" s="2274"/>
      <c r="J27" s="2257"/>
      <c r="K27" s="2258"/>
      <c r="L27" s="2258"/>
      <c r="M27" s="2258"/>
      <c r="N27" s="2258"/>
      <c r="O27" s="2259"/>
      <c r="P27" s="2257"/>
      <c r="Q27" s="2258"/>
      <c r="R27" s="2258"/>
      <c r="S27" s="2258"/>
      <c r="T27" s="2258"/>
      <c r="U27" s="2259"/>
      <c r="V27" s="2257"/>
      <c r="W27" s="2258"/>
      <c r="X27" s="2258"/>
      <c r="Y27" s="2258"/>
      <c r="Z27" s="2258"/>
      <c r="AA27" s="2259"/>
      <c r="AB27" s="2257"/>
      <c r="AC27" s="2258"/>
      <c r="AD27" s="2258"/>
      <c r="AE27" s="2258"/>
      <c r="AF27" s="2258"/>
      <c r="AG27" s="2259"/>
      <c r="AH27" s="2257"/>
      <c r="AI27" s="2258"/>
      <c r="AJ27" s="2258"/>
      <c r="AK27" s="2258"/>
      <c r="AL27" s="2258"/>
      <c r="AM27" s="2259"/>
      <c r="AN27" s="2257"/>
      <c r="AO27" s="2258"/>
      <c r="AP27" s="2258"/>
      <c r="AQ27" s="2258"/>
      <c r="AR27" s="2258"/>
      <c r="AS27" s="2259"/>
      <c r="AT27" s="2260">
        <f t="shared" si="1"/>
        <v>0</v>
      </c>
      <c r="AU27" s="2261"/>
      <c r="AV27" s="2261"/>
      <c r="AW27" s="2261"/>
      <c r="AX27" s="2261"/>
      <c r="AY27" s="2262"/>
      <c r="AZ27" s="1208"/>
      <c r="BA27" s="1208"/>
      <c r="BB27" s="1208"/>
      <c r="BC27" s="1208"/>
      <c r="BD27" s="1208"/>
      <c r="BE27" s="1215"/>
    </row>
    <row r="28" spans="1:58" thickBot="1">
      <c r="A28" s="1208"/>
      <c r="B28" s="2263" t="s">
        <v>2363</v>
      </c>
      <c r="C28" s="2264"/>
      <c r="D28" s="2264"/>
      <c r="E28" s="2264"/>
      <c r="F28" s="2264"/>
      <c r="G28" s="2264"/>
      <c r="H28" s="2264"/>
      <c r="I28" s="2265"/>
      <c r="J28" s="2266">
        <f>SUM(P28:AS28)</f>
        <v>1</v>
      </c>
      <c r="K28" s="2267"/>
      <c r="L28" s="2267"/>
      <c r="M28" s="2267"/>
      <c r="N28" s="2267"/>
      <c r="O28" s="2268"/>
      <c r="P28" s="2266">
        <f>_xlfn.IFNA(VLOOKUP(P$18,Application!$J$781:$S$784,6,FALSE), 0)</f>
        <v>0</v>
      </c>
      <c r="Q28" s="2267"/>
      <c r="R28" s="2267"/>
      <c r="S28" s="2267"/>
      <c r="T28" s="2267"/>
      <c r="U28" s="2268"/>
      <c r="V28" s="2266">
        <f>_xlfn.IFNA(VLOOKUP(V$18,Application!$J$781:$S$784,6,FALSE), 0)</f>
        <v>1</v>
      </c>
      <c r="W28" s="2267"/>
      <c r="X28" s="2267"/>
      <c r="Y28" s="2267"/>
      <c r="Z28" s="2267"/>
      <c r="AA28" s="2268"/>
      <c r="AB28" s="2266">
        <f>_xlfn.IFNA(VLOOKUP(AB$18,Application!$J$781:$S$784,6,FALSE), 0)</f>
        <v>0</v>
      </c>
      <c r="AC28" s="2267"/>
      <c r="AD28" s="2267"/>
      <c r="AE28" s="2267"/>
      <c r="AF28" s="2267"/>
      <c r="AG28" s="2268"/>
      <c r="AH28" s="2266">
        <f>_xlfn.IFNA(VLOOKUP(AH$18,Application!$J$781:$S$784,6,FALSE), 0)</f>
        <v>0</v>
      </c>
      <c r="AI28" s="2267"/>
      <c r="AJ28" s="2267"/>
      <c r="AK28" s="2267"/>
      <c r="AL28" s="2267"/>
      <c r="AM28" s="2268"/>
      <c r="AN28" s="2266">
        <f>_xlfn.IFNA(VLOOKUP(AN$18,Application!$J$781:$S$784,6,FALSE), 0)</f>
        <v>0</v>
      </c>
      <c r="AO28" s="2267"/>
      <c r="AP28" s="2267"/>
      <c r="AQ28" s="2267"/>
      <c r="AR28" s="2267"/>
      <c r="AS28" s="2268"/>
      <c r="AT28" s="2269">
        <f t="shared" si="1"/>
        <v>2.0408163265306121E-2</v>
      </c>
      <c r="AU28" s="2270"/>
      <c r="AV28" s="2270"/>
      <c r="AW28" s="2270"/>
      <c r="AX28" s="2270"/>
      <c r="AY28" s="2271"/>
      <c r="AZ28" s="1208"/>
      <c r="BA28" s="1208"/>
      <c r="BB28" s="1208"/>
      <c r="BC28" s="1208"/>
      <c r="BD28" s="1208"/>
      <c r="BE28" s="1215"/>
    </row>
    <row r="29" spans="1:58" thickBot="1">
      <c r="A29" s="1208"/>
      <c r="B29" s="2246" t="s">
        <v>1575</v>
      </c>
      <c r="C29" s="2219"/>
      <c r="D29" s="2219"/>
      <c r="E29" s="2219"/>
      <c r="F29" s="2219"/>
      <c r="G29" s="2219"/>
      <c r="H29" s="2219"/>
      <c r="I29" s="2220"/>
      <c r="J29" s="2218">
        <f>SUM(J19:O28)</f>
        <v>49</v>
      </c>
      <c r="K29" s="2219"/>
      <c r="L29" s="2219"/>
      <c r="M29" s="2219"/>
      <c r="N29" s="2219"/>
      <c r="O29" s="2220"/>
      <c r="P29" s="2218">
        <f>SUM(P19:U28)</f>
        <v>1</v>
      </c>
      <c r="Q29" s="2219"/>
      <c r="R29" s="2219"/>
      <c r="S29" s="2219"/>
      <c r="T29" s="2219"/>
      <c r="U29" s="2220"/>
      <c r="V29" s="2218">
        <f>SUM(V19:AA28)</f>
        <v>41</v>
      </c>
      <c r="W29" s="2219"/>
      <c r="X29" s="2219"/>
      <c r="Y29" s="2219"/>
      <c r="Z29" s="2219"/>
      <c r="AA29" s="2220"/>
      <c r="AB29" s="2218">
        <f>SUM(AB19:AG28)</f>
        <v>7</v>
      </c>
      <c r="AC29" s="2219"/>
      <c r="AD29" s="2219"/>
      <c r="AE29" s="2219"/>
      <c r="AF29" s="2219"/>
      <c r="AG29" s="2220"/>
      <c r="AH29" s="2218">
        <f>SUM(AH19:AM28)</f>
        <v>0</v>
      </c>
      <c r="AI29" s="2219"/>
      <c r="AJ29" s="2219"/>
      <c r="AK29" s="2219"/>
      <c r="AL29" s="2219"/>
      <c r="AM29" s="2220"/>
      <c r="AN29" s="2218">
        <f>SUM(AN19:AS28)</f>
        <v>0</v>
      </c>
      <c r="AO29" s="2219"/>
      <c r="AP29" s="2219"/>
      <c r="AQ29" s="2219"/>
      <c r="AR29" s="2219"/>
      <c r="AS29" s="2220"/>
      <c r="AT29" s="2221">
        <f t="shared" si="1"/>
        <v>1</v>
      </c>
      <c r="AU29" s="2222"/>
      <c r="AV29" s="2222"/>
      <c r="AW29" s="2222"/>
      <c r="AX29" s="2222"/>
      <c r="AY29" s="2223"/>
      <c r="AZ29" s="1208"/>
      <c r="BA29" s="1208"/>
      <c r="BB29" s="1208"/>
      <c r="BC29" s="1208"/>
      <c r="BD29" s="1208"/>
      <c r="BE29" s="1215"/>
    </row>
    <row r="30" spans="1:58" thickBot="1">
      <c r="A30" s="1207"/>
      <c r="B30" s="1208"/>
      <c r="C30" s="1208"/>
      <c r="D30" s="1208"/>
      <c r="E30" s="1208"/>
      <c r="F30" s="1208"/>
      <c r="G30" s="1208"/>
      <c r="H30" s="1208"/>
      <c r="I30" s="1208"/>
      <c r="J30" s="1208"/>
      <c r="K30" s="1208"/>
      <c r="L30" s="1208"/>
      <c r="M30" s="1208"/>
      <c r="N30" s="1208"/>
      <c r="O30" s="1208"/>
      <c r="P30" s="1208"/>
      <c r="Q30" s="1208"/>
      <c r="R30" s="1208"/>
      <c r="S30" s="1208"/>
      <c r="T30" s="1208"/>
      <c r="U30" s="1208"/>
      <c r="V30" s="1208"/>
      <c r="W30" s="1208"/>
      <c r="X30" s="1208"/>
      <c r="Y30" s="1208"/>
      <c r="Z30" s="1208"/>
      <c r="AA30" s="1208"/>
      <c r="AB30" s="1208"/>
      <c r="AC30" s="1208"/>
      <c r="AD30" s="1208"/>
      <c r="AE30" s="1208"/>
      <c r="AF30" s="1208"/>
      <c r="AG30" s="1208"/>
      <c r="AH30" s="1208"/>
      <c r="AI30" s="1208"/>
      <c r="AJ30" s="1208"/>
      <c r="AK30" s="1208"/>
      <c r="AL30" s="1208"/>
      <c r="AM30" s="1208"/>
      <c r="AN30" s="1208"/>
      <c r="AO30" s="1208"/>
      <c r="AP30" s="1208"/>
      <c r="AQ30" s="1208"/>
      <c r="AR30" s="1208"/>
      <c r="AS30" s="1208"/>
      <c r="AT30" s="1208"/>
      <c r="AU30" s="1208"/>
      <c r="AV30" s="1208"/>
      <c r="AW30" s="1208"/>
      <c r="AX30" s="1208"/>
      <c r="AY30" s="1208"/>
      <c r="AZ30" s="1208"/>
      <c r="BA30" s="1208"/>
      <c r="BB30" s="1208"/>
      <c r="BC30" s="1208"/>
      <c r="BD30" s="1208"/>
      <c r="BE30" s="1215"/>
    </row>
    <row r="31" spans="1:58" thickBot="1">
      <c r="A31" s="1208"/>
      <c r="B31" s="2224" t="s">
        <v>2362</v>
      </c>
      <c r="C31" s="2225"/>
      <c r="D31" s="2225"/>
      <c r="E31" s="2225"/>
      <c r="F31" s="2225"/>
      <c r="G31" s="2225"/>
      <c r="H31" s="2225"/>
      <c r="I31" s="2225"/>
      <c r="J31" s="2225"/>
      <c r="K31" s="2225"/>
      <c r="L31" s="2225"/>
      <c r="M31" s="2225"/>
      <c r="N31" s="2225"/>
      <c r="O31" s="2225"/>
      <c r="P31" s="2225"/>
      <c r="Q31" s="2225"/>
      <c r="R31" s="2225"/>
      <c r="S31" s="2225"/>
      <c r="T31" s="2225"/>
      <c r="U31" s="2225"/>
      <c r="V31" s="2225"/>
      <c r="W31" s="2225"/>
      <c r="X31" s="2225"/>
      <c r="Y31" s="2225"/>
      <c r="Z31" s="2225"/>
      <c r="AA31" s="2225"/>
      <c r="AB31" s="2225"/>
      <c r="AC31" s="2225"/>
      <c r="AD31" s="2225"/>
      <c r="AE31" s="2225"/>
      <c r="AF31" s="2225"/>
      <c r="AG31" s="2225"/>
      <c r="AH31" s="2225"/>
      <c r="AI31" s="2225"/>
      <c r="AJ31" s="2225"/>
      <c r="AK31" s="2225"/>
      <c r="AL31" s="2225"/>
      <c r="AM31" s="2225"/>
      <c r="AN31" s="2225"/>
      <c r="AO31" s="2225"/>
      <c r="AP31" s="2225"/>
      <c r="AQ31" s="2225"/>
      <c r="AR31" s="2225"/>
      <c r="AS31" s="2225"/>
      <c r="AT31" s="2225"/>
      <c r="AU31" s="2225"/>
      <c r="AV31" s="2225"/>
      <c r="AW31" s="2225"/>
      <c r="AX31" s="2225"/>
      <c r="AY31" s="2225"/>
      <c r="AZ31" s="2225"/>
      <c r="BA31" s="2225"/>
      <c r="BB31" s="2225"/>
      <c r="BC31" s="2225"/>
      <c r="BD31" s="2226"/>
      <c r="BE31" s="1215"/>
    </row>
    <row r="32" spans="1:58" thickBot="1">
      <c r="A32" s="1208"/>
      <c r="B32" s="2227" t="s">
        <v>2361</v>
      </c>
      <c r="C32" s="2228"/>
      <c r="D32" s="2228"/>
      <c r="E32" s="2228"/>
      <c r="F32" s="2228"/>
      <c r="G32" s="2228"/>
      <c r="H32" s="2228"/>
      <c r="I32" s="2228"/>
      <c r="J32" s="2231" t="s">
        <v>2360</v>
      </c>
      <c r="K32" s="2232"/>
      <c r="L32" s="2232"/>
      <c r="M32" s="2232"/>
      <c r="N32" s="2231" t="s">
        <v>2359</v>
      </c>
      <c r="O32" s="2232"/>
      <c r="P32" s="2232"/>
      <c r="Q32" s="2234"/>
      <c r="R32" s="2236" t="s">
        <v>2358</v>
      </c>
      <c r="S32" s="2237"/>
      <c r="T32" s="2237"/>
      <c r="U32" s="2237"/>
      <c r="V32" s="2237"/>
      <c r="W32" s="2237"/>
      <c r="X32" s="2237"/>
      <c r="Y32" s="2237"/>
      <c r="Z32" s="2237"/>
      <c r="AA32" s="2237"/>
      <c r="AB32" s="2237"/>
      <c r="AC32" s="2237"/>
      <c r="AD32" s="2237"/>
      <c r="AE32" s="2237"/>
      <c r="AF32" s="2237"/>
      <c r="AG32" s="2237"/>
      <c r="AH32" s="2237"/>
      <c r="AI32" s="2237"/>
      <c r="AJ32" s="2237"/>
      <c r="AK32" s="2237"/>
      <c r="AL32" s="2237"/>
      <c r="AM32" s="2237"/>
      <c r="AN32" s="2237"/>
      <c r="AO32" s="2237"/>
      <c r="AP32" s="2237"/>
      <c r="AQ32" s="2237"/>
      <c r="AR32" s="2237"/>
      <c r="AS32" s="2237"/>
      <c r="AT32" s="2237"/>
      <c r="AU32" s="2237"/>
      <c r="AV32" s="2237"/>
      <c r="AW32" s="2237"/>
      <c r="AX32" s="2237"/>
      <c r="AY32" s="2237"/>
      <c r="AZ32" s="2237"/>
      <c r="BA32" s="2237"/>
      <c r="BB32" s="2237"/>
      <c r="BC32" s="2237"/>
      <c r="BD32" s="2238"/>
      <c r="BE32" s="1215"/>
    </row>
    <row r="33" spans="1:58" ht="15" customHeight="1">
      <c r="A33" s="1208"/>
      <c r="B33" s="2229"/>
      <c r="C33" s="2230"/>
      <c r="D33" s="2230"/>
      <c r="E33" s="2230"/>
      <c r="F33" s="2230"/>
      <c r="G33" s="2230"/>
      <c r="H33" s="2230"/>
      <c r="I33" s="2230"/>
      <c r="J33" s="2233"/>
      <c r="K33" s="2233"/>
      <c r="L33" s="2233"/>
      <c r="M33" s="2233"/>
      <c r="N33" s="2233"/>
      <c r="O33" s="2233"/>
      <c r="P33" s="2233"/>
      <c r="Q33" s="2235"/>
      <c r="R33" s="2239" t="s">
        <v>2357</v>
      </c>
      <c r="S33" s="2240"/>
      <c r="T33" s="2240"/>
      <c r="U33" s="2240"/>
      <c r="V33" s="2240"/>
      <c r="W33" s="2240"/>
      <c r="X33" s="2240"/>
      <c r="Y33" s="2240"/>
      <c r="Z33" s="2240"/>
      <c r="AA33" s="2240"/>
      <c r="AB33" s="2240"/>
      <c r="AC33" s="2240"/>
      <c r="AD33" s="2240"/>
      <c r="AE33" s="2240"/>
      <c r="AF33" s="2240"/>
      <c r="AG33" s="2240"/>
      <c r="AH33" s="2240"/>
      <c r="AI33" s="2240"/>
      <c r="AJ33" s="2240"/>
      <c r="AK33" s="2240"/>
      <c r="AL33" s="2240"/>
      <c r="AM33" s="2240"/>
      <c r="AN33" s="2240"/>
      <c r="AO33" s="2240"/>
      <c r="AP33" s="2240"/>
      <c r="AQ33" s="2240"/>
      <c r="AR33" s="2240"/>
      <c r="AS33" s="2240"/>
      <c r="AT33" s="2240"/>
      <c r="AU33" s="2240"/>
      <c r="AV33" s="2240"/>
      <c r="AW33" s="2240"/>
      <c r="AX33" s="2240"/>
      <c r="AY33" s="2240"/>
      <c r="AZ33" s="2240"/>
      <c r="BA33" s="2240"/>
      <c r="BB33" s="2240"/>
      <c r="BC33" s="2240"/>
      <c r="BD33" s="2241"/>
      <c r="BE33" s="1215"/>
    </row>
    <row r="34" spans="1:58" ht="15.75" customHeight="1" thickBot="1">
      <c r="A34" s="1208"/>
      <c r="B34" s="2229"/>
      <c r="C34" s="2230"/>
      <c r="D34" s="2230"/>
      <c r="E34" s="2230"/>
      <c r="F34" s="2230"/>
      <c r="G34" s="2230"/>
      <c r="H34" s="2230"/>
      <c r="I34" s="2230"/>
      <c r="J34" s="2233"/>
      <c r="K34" s="2233"/>
      <c r="L34" s="2233"/>
      <c r="M34" s="2233"/>
      <c r="N34" s="2233"/>
      <c r="O34" s="2233"/>
      <c r="P34" s="2233"/>
      <c r="Q34" s="2235"/>
      <c r="R34" s="2242"/>
      <c r="S34" s="2243"/>
      <c r="T34" s="2243"/>
      <c r="U34" s="2243"/>
      <c r="V34" s="2243"/>
      <c r="W34" s="2243"/>
      <c r="X34" s="2243"/>
      <c r="Y34" s="2243"/>
      <c r="Z34" s="2243"/>
      <c r="AA34" s="2243"/>
      <c r="AB34" s="2243"/>
      <c r="AC34" s="2243"/>
      <c r="AD34" s="2243"/>
      <c r="AE34" s="2243"/>
      <c r="AF34" s="2243"/>
      <c r="AG34" s="2243"/>
      <c r="AH34" s="2243"/>
      <c r="AI34" s="2243"/>
      <c r="AJ34" s="2243"/>
      <c r="AK34" s="2243"/>
      <c r="AL34" s="2243"/>
      <c r="AM34" s="2243"/>
      <c r="AN34" s="2243"/>
      <c r="AO34" s="2243"/>
      <c r="AP34" s="2243"/>
      <c r="AQ34" s="2243"/>
      <c r="AR34" s="2243"/>
      <c r="AS34" s="2243"/>
      <c r="AT34" s="2243"/>
      <c r="AU34" s="2243"/>
      <c r="AV34" s="2243"/>
      <c r="AW34" s="2243"/>
      <c r="AX34" s="2243"/>
      <c r="AY34" s="2243"/>
      <c r="AZ34" s="2243"/>
      <c r="BA34" s="2243"/>
      <c r="BB34" s="2243"/>
      <c r="BC34" s="2243"/>
      <c r="BD34" s="2244"/>
      <c r="BE34" s="1215"/>
    </row>
    <row r="35" spans="1:58" ht="15.75" customHeight="1">
      <c r="A35" s="1208"/>
      <c r="B35" s="2229"/>
      <c r="C35" s="2230"/>
      <c r="D35" s="2230"/>
      <c r="E35" s="2230"/>
      <c r="F35" s="2230"/>
      <c r="G35" s="2230"/>
      <c r="H35" s="2230"/>
      <c r="I35" s="2230"/>
      <c r="J35" s="2233"/>
      <c r="K35" s="2233"/>
      <c r="L35" s="2233"/>
      <c r="M35" s="2233"/>
      <c r="N35" s="2233"/>
      <c r="O35" s="2233"/>
      <c r="P35" s="2233"/>
      <c r="Q35" s="2233"/>
      <c r="R35" s="2245">
        <v>0.3</v>
      </c>
      <c r="S35" s="2245"/>
      <c r="T35" s="2245"/>
      <c r="U35" s="2245"/>
      <c r="V35" s="2245">
        <v>0.4</v>
      </c>
      <c r="W35" s="2245"/>
      <c r="X35" s="2245"/>
      <c r="Y35" s="2245"/>
      <c r="Z35" s="2245">
        <v>0.5</v>
      </c>
      <c r="AA35" s="2245"/>
      <c r="AB35" s="2245"/>
      <c r="AC35" s="2245"/>
      <c r="AD35" s="2245">
        <v>0.6</v>
      </c>
      <c r="AE35" s="2245"/>
      <c r="AF35" s="2245"/>
      <c r="AG35" s="2245"/>
      <c r="AH35" s="2245">
        <v>0.7</v>
      </c>
      <c r="AI35" s="2245"/>
      <c r="AJ35" s="2245"/>
      <c r="AK35" s="2245"/>
      <c r="AL35" s="2250">
        <v>0.8</v>
      </c>
      <c r="AM35" s="2251"/>
      <c r="AN35" s="2251"/>
      <c r="AO35" s="2252"/>
      <c r="AP35" s="2253">
        <v>1.2</v>
      </c>
      <c r="AQ35" s="2254"/>
      <c r="AR35" s="2255"/>
      <c r="AS35" s="2247" t="s">
        <v>2356</v>
      </c>
      <c r="AT35" s="2248"/>
      <c r="AU35" s="2248"/>
      <c r="AV35" s="2248"/>
      <c r="AW35" s="2248"/>
      <c r="AX35" s="2256"/>
      <c r="AY35" s="2247" t="s">
        <v>2355</v>
      </c>
      <c r="AZ35" s="2248"/>
      <c r="BA35" s="2248"/>
      <c r="BB35" s="2248"/>
      <c r="BC35" s="2248"/>
      <c r="BD35" s="2249"/>
      <c r="BE35" s="1215"/>
    </row>
    <row r="36" spans="1:58" ht="15.75" customHeight="1">
      <c r="A36" s="1208"/>
      <c r="B36" s="2151" t="s">
        <v>2354</v>
      </c>
      <c r="C36" s="2152"/>
      <c r="D36" s="2152"/>
      <c r="E36" s="2152"/>
      <c r="F36" s="2152"/>
      <c r="G36" s="2152"/>
      <c r="H36" s="2152"/>
      <c r="I36" s="2152"/>
      <c r="J36" s="2216" t="s">
        <v>2353</v>
      </c>
      <c r="K36" s="2216"/>
      <c r="L36" s="2216"/>
      <c r="M36" s="2216"/>
      <c r="N36" s="2216">
        <v>55</v>
      </c>
      <c r="O36" s="2216"/>
      <c r="P36" s="2216"/>
      <c r="Q36" s="2216"/>
      <c r="R36" s="2217"/>
      <c r="S36" s="2217"/>
      <c r="T36" s="2217"/>
      <c r="U36" s="2217"/>
      <c r="V36" s="2217"/>
      <c r="W36" s="2217"/>
      <c r="X36" s="2217"/>
      <c r="Y36" s="2217"/>
      <c r="Z36" s="2217"/>
      <c r="AA36" s="2217"/>
      <c r="AB36" s="2217"/>
      <c r="AC36" s="2217"/>
      <c r="AD36" s="2217"/>
      <c r="AE36" s="2217"/>
      <c r="AF36" s="2217"/>
      <c r="AG36" s="2217"/>
      <c r="AH36" s="2217"/>
      <c r="AI36" s="2217"/>
      <c r="AJ36" s="2217"/>
      <c r="AK36" s="2217"/>
      <c r="AL36" s="2201"/>
      <c r="AM36" s="2202"/>
      <c r="AN36" s="2202"/>
      <c r="AO36" s="2203"/>
      <c r="AP36" s="2201"/>
      <c r="AQ36" s="2202"/>
      <c r="AR36" s="2203"/>
      <c r="AS36" s="2204">
        <f t="shared" ref="AS36:AS47" si="2">SUM(R36:AR36)</f>
        <v>0</v>
      </c>
      <c r="AT36" s="2205"/>
      <c r="AU36" s="2205"/>
      <c r="AV36" s="2205"/>
      <c r="AW36" s="2205"/>
      <c r="AX36" s="2206"/>
      <c r="AY36" s="2207">
        <f t="shared" ref="AY36:AY47" si="3">AS36/$J$29</f>
        <v>0</v>
      </c>
      <c r="AZ36" s="2208"/>
      <c r="BA36" s="2208"/>
      <c r="BB36" s="2208"/>
      <c r="BC36" s="2208"/>
      <c r="BD36" s="2209"/>
      <c r="BE36" s="1215"/>
    </row>
    <row r="37" spans="1:58" ht="15.75" customHeight="1">
      <c r="A37" s="1208"/>
      <c r="B37" s="2151" t="s">
        <v>2352</v>
      </c>
      <c r="C37" s="2152"/>
      <c r="D37" s="2152"/>
      <c r="E37" s="2152"/>
      <c r="F37" s="2152"/>
      <c r="G37" s="2152"/>
      <c r="H37" s="2152"/>
      <c r="I37" s="2152"/>
      <c r="J37" s="2216" t="s">
        <v>2351</v>
      </c>
      <c r="K37" s="2216"/>
      <c r="L37" s="2216"/>
      <c r="M37" s="2216"/>
      <c r="N37" s="2216">
        <v>55</v>
      </c>
      <c r="O37" s="2216"/>
      <c r="P37" s="2216"/>
      <c r="Q37" s="2216"/>
      <c r="R37" s="2217"/>
      <c r="S37" s="2217"/>
      <c r="T37" s="2217"/>
      <c r="U37" s="2217"/>
      <c r="V37" s="2217"/>
      <c r="W37" s="2217"/>
      <c r="X37" s="2217"/>
      <c r="Y37" s="2217"/>
      <c r="Z37" s="2217"/>
      <c r="AA37" s="2217"/>
      <c r="AB37" s="2217"/>
      <c r="AC37" s="2217"/>
      <c r="AD37" s="2217"/>
      <c r="AE37" s="2217"/>
      <c r="AF37" s="2217"/>
      <c r="AG37" s="2217"/>
      <c r="AH37" s="2217"/>
      <c r="AI37" s="2217"/>
      <c r="AJ37" s="2217"/>
      <c r="AK37" s="2217"/>
      <c r="AL37" s="2201"/>
      <c r="AM37" s="2202"/>
      <c r="AN37" s="2202"/>
      <c r="AO37" s="2203"/>
      <c r="AP37" s="2201"/>
      <c r="AQ37" s="2202"/>
      <c r="AR37" s="2203"/>
      <c r="AS37" s="2204">
        <f t="shared" si="2"/>
        <v>0</v>
      </c>
      <c r="AT37" s="2205"/>
      <c r="AU37" s="2205"/>
      <c r="AV37" s="2205"/>
      <c r="AW37" s="2205"/>
      <c r="AX37" s="2206"/>
      <c r="AY37" s="2207">
        <f t="shared" si="3"/>
        <v>0</v>
      </c>
      <c r="AZ37" s="2208"/>
      <c r="BA37" s="2208"/>
      <c r="BB37" s="2208"/>
      <c r="BC37" s="2208"/>
      <c r="BD37" s="2209"/>
      <c r="BE37" s="1215"/>
    </row>
    <row r="38" spans="1:58" ht="15.75" customHeight="1">
      <c r="A38" s="1208"/>
      <c r="B38" s="2151" t="s">
        <v>2350</v>
      </c>
      <c r="C38" s="2152"/>
      <c r="D38" s="2152"/>
      <c r="E38" s="2152"/>
      <c r="F38" s="2152"/>
      <c r="G38" s="2152"/>
      <c r="H38" s="2152"/>
      <c r="I38" s="2152"/>
      <c r="J38" s="2216" t="s">
        <v>2349</v>
      </c>
      <c r="K38" s="2216"/>
      <c r="L38" s="2216"/>
      <c r="M38" s="2216"/>
      <c r="N38" s="2216">
        <v>55</v>
      </c>
      <c r="O38" s="2216"/>
      <c r="P38" s="2216"/>
      <c r="Q38" s="2216"/>
      <c r="R38" s="2217"/>
      <c r="S38" s="2217"/>
      <c r="T38" s="2217"/>
      <c r="U38" s="2217"/>
      <c r="V38" s="2217"/>
      <c r="W38" s="2217"/>
      <c r="X38" s="2217"/>
      <c r="Y38" s="2217"/>
      <c r="Z38" s="2217"/>
      <c r="AA38" s="2217"/>
      <c r="AB38" s="2217"/>
      <c r="AC38" s="2217"/>
      <c r="AD38" s="2217"/>
      <c r="AE38" s="2217"/>
      <c r="AF38" s="2217"/>
      <c r="AG38" s="2217"/>
      <c r="AH38" s="2217"/>
      <c r="AI38" s="2217"/>
      <c r="AJ38" s="2217"/>
      <c r="AK38" s="2217"/>
      <c r="AL38" s="2201"/>
      <c r="AM38" s="2202"/>
      <c r="AN38" s="2202"/>
      <c r="AO38" s="2203"/>
      <c r="AP38" s="2201"/>
      <c r="AQ38" s="2202"/>
      <c r="AR38" s="2203"/>
      <c r="AS38" s="2204">
        <f t="shared" si="2"/>
        <v>0</v>
      </c>
      <c r="AT38" s="2205"/>
      <c r="AU38" s="2205"/>
      <c r="AV38" s="2205"/>
      <c r="AW38" s="2205"/>
      <c r="AX38" s="2206"/>
      <c r="AY38" s="2207">
        <f t="shared" si="3"/>
        <v>0</v>
      </c>
      <c r="AZ38" s="2208"/>
      <c r="BA38" s="2208"/>
      <c r="BB38" s="2208"/>
      <c r="BC38" s="2208"/>
      <c r="BD38" s="2209"/>
      <c r="BE38" s="1215"/>
    </row>
    <row r="39" spans="1:58" ht="15.75" customHeight="1">
      <c r="A39" s="1208"/>
      <c r="B39" s="2151" t="s">
        <v>2348</v>
      </c>
      <c r="C39" s="2152"/>
      <c r="D39" s="2152"/>
      <c r="E39" s="2152"/>
      <c r="F39" s="2152"/>
      <c r="G39" s="2152"/>
      <c r="H39" s="2152"/>
      <c r="I39" s="2152"/>
      <c r="J39" s="2216"/>
      <c r="K39" s="2216"/>
      <c r="L39" s="2216"/>
      <c r="M39" s="2216"/>
      <c r="N39" s="2216"/>
      <c r="O39" s="2216"/>
      <c r="P39" s="2216"/>
      <c r="Q39" s="2216"/>
      <c r="R39" s="2217"/>
      <c r="S39" s="2217"/>
      <c r="T39" s="2217"/>
      <c r="U39" s="2217"/>
      <c r="V39" s="2217"/>
      <c r="W39" s="2217"/>
      <c r="X39" s="2217"/>
      <c r="Y39" s="2217"/>
      <c r="Z39" s="2217"/>
      <c r="AA39" s="2217"/>
      <c r="AB39" s="2217"/>
      <c r="AC39" s="2217"/>
      <c r="AD39" s="2217"/>
      <c r="AE39" s="2217"/>
      <c r="AF39" s="2217"/>
      <c r="AG39" s="2217"/>
      <c r="AH39" s="2217"/>
      <c r="AI39" s="2217"/>
      <c r="AJ39" s="2217"/>
      <c r="AK39" s="2217"/>
      <c r="AL39" s="2201"/>
      <c r="AM39" s="2202"/>
      <c r="AN39" s="2202"/>
      <c r="AO39" s="2203"/>
      <c r="AP39" s="2201"/>
      <c r="AQ39" s="2202"/>
      <c r="AR39" s="2203"/>
      <c r="AS39" s="2204">
        <f t="shared" si="2"/>
        <v>0</v>
      </c>
      <c r="AT39" s="2205"/>
      <c r="AU39" s="2205"/>
      <c r="AV39" s="2205"/>
      <c r="AW39" s="2205"/>
      <c r="AX39" s="2206"/>
      <c r="AY39" s="2207">
        <f t="shared" si="3"/>
        <v>0</v>
      </c>
      <c r="AZ39" s="2208"/>
      <c r="BA39" s="2208"/>
      <c r="BB39" s="2208"/>
      <c r="BC39" s="2208"/>
      <c r="BD39" s="2209"/>
      <c r="BE39" s="1215"/>
    </row>
    <row r="40" spans="1:58" ht="15.75" customHeight="1">
      <c r="A40" s="1208"/>
      <c r="B40" s="2151" t="s">
        <v>2348</v>
      </c>
      <c r="C40" s="2152"/>
      <c r="D40" s="2152"/>
      <c r="E40" s="2152"/>
      <c r="F40" s="2152"/>
      <c r="G40" s="2152"/>
      <c r="H40" s="2152"/>
      <c r="I40" s="2152"/>
      <c r="J40" s="2216"/>
      <c r="K40" s="2216"/>
      <c r="L40" s="2216"/>
      <c r="M40" s="2216"/>
      <c r="N40" s="2216"/>
      <c r="O40" s="2216"/>
      <c r="P40" s="2216"/>
      <c r="Q40" s="2216"/>
      <c r="R40" s="2217"/>
      <c r="S40" s="2217"/>
      <c r="T40" s="2217"/>
      <c r="U40" s="2217"/>
      <c r="V40" s="2217"/>
      <c r="W40" s="2217"/>
      <c r="X40" s="2217"/>
      <c r="Y40" s="2217"/>
      <c r="Z40" s="2217"/>
      <c r="AA40" s="2217"/>
      <c r="AB40" s="2217"/>
      <c r="AC40" s="2217"/>
      <c r="AD40" s="2217"/>
      <c r="AE40" s="2217"/>
      <c r="AF40" s="2217"/>
      <c r="AG40" s="2217"/>
      <c r="AH40" s="2217"/>
      <c r="AI40" s="2217"/>
      <c r="AJ40" s="2217"/>
      <c r="AK40" s="2217"/>
      <c r="AL40" s="2201"/>
      <c r="AM40" s="2202"/>
      <c r="AN40" s="2202"/>
      <c r="AO40" s="2203"/>
      <c r="AP40" s="2201"/>
      <c r="AQ40" s="2202"/>
      <c r="AR40" s="2203"/>
      <c r="AS40" s="2204">
        <f t="shared" si="2"/>
        <v>0</v>
      </c>
      <c r="AT40" s="2205"/>
      <c r="AU40" s="2205"/>
      <c r="AV40" s="2205"/>
      <c r="AW40" s="2205"/>
      <c r="AX40" s="2206"/>
      <c r="AY40" s="2207">
        <f t="shared" si="3"/>
        <v>0</v>
      </c>
      <c r="AZ40" s="2208"/>
      <c r="BA40" s="2208"/>
      <c r="BB40" s="2208"/>
      <c r="BC40" s="2208"/>
      <c r="BD40" s="2209"/>
      <c r="BE40" s="1215"/>
    </row>
    <row r="41" spans="1:58" ht="15.75" customHeight="1">
      <c r="A41" s="1208"/>
      <c r="B41" s="2151" t="s">
        <v>2347</v>
      </c>
      <c r="C41" s="2152"/>
      <c r="D41" s="2152"/>
      <c r="E41" s="2152"/>
      <c r="F41" s="2152"/>
      <c r="G41" s="2152"/>
      <c r="H41" s="2152"/>
      <c r="I41" s="2152"/>
      <c r="J41" s="2216"/>
      <c r="K41" s="2216"/>
      <c r="L41" s="2216"/>
      <c r="M41" s="2216"/>
      <c r="N41" s="2216"/>
      <c r="O41" s="2216"/>
      <c r="P41" s="2216"/>
      <c r="Q41" s="2216"/>
      <c r="R41" s="2217"/>
      <c r="S41" s="2217"/>
      <c r="T41" s="2217"/>
      <c r="U41" s="2217"/>
      <c r="V41" s="2217"/>
      <c r="W41" s="2217"/>
      <c r="X41" s="2217"/>
      <c r="Y41" s="2217"/>
      <c r="Z41" s="2217"/>
      <c r="AA41" s="2217"/>
      <c r="AB41" s="2217"/>
      <c r="AC41" s="2217"/>
      <c r="AD41" s="2217"/>
      <c r="AE41" s="2217"/>
      <c r="AF41" s="2217"/>
      <c r="AG41" s="2217"/>
      <c r="AH41" s="2217"/>
      <c r="AI41" s="2217"/>
      <c r="AJ41" s="2217"/>
      <c r="AK41" s="2217"/>
      <c r="AL41" s="2201"/>
      <c r="AM41" s="2202"/>
      <c r="AN41" s="2202"/>
      <c r="AO41" s="2203"/>
      <c r="AP41" s="2201"/>
      <c r="AQ41" s="2202"/>
      <c r="AR41" s="2203"/>
      <c r="AS41" s="2204">
        <f t="shared" si="2"/>
        <v>0</v>
      </c>
      <c r="AT41" s="2205"/>
      <c r="AU41" s="2205"/>
      <c r="AV41" s="2205"/>
      <c r="AW41" s="2205"/>
      <c r="AX41" s="2206"/>
      <c r="AY41" s="2207">
        <f t="shared" si="3"/>
        <v>0</v>
      </c>
      <c r="AZ41" s="2208"/>
      <c r="BA41" s="2208"/>
      <c r="BB41" s="2208"/>
      <c r="BC41" s="2208"/>
      <c r="BD41" s="2209"/>
      <c r="BE41" s="1215"/>
    </row>
    <row r="42" spans="1:58" ht="15.75" customHeight="1">
      <c r="A42" s="1208"/>
      <c r="B42" s="2151" t="s">
        <v>2347</v>
      </c>
      <c r="C42" s="2152"/>
      <c r="D42" s="2152"/>
      <c r="E42" s="2152"/>
      <c r="F42" s="2152"/>
      <c r="G42" s="2152"/>
      <c r="H42" s="2152"/>
      <c r="I42" s="2152"/>
      <c r="J42" s="2216"/>
      <c r="K42" s="2216"/>
      <c r="L42" s="2216"/>
      <c r="M42" s="2216"/>
      <c r="N42" s="2216"/>
      <c r="O42" s="2216"/>
      <c r="P42" s="2216"/>
      <c r="Q42" s="2216"/>
      <c r="R42" s="2217"/>
      <c r="S42" s="2217"/>
      <c r="T42" s="2217"/>
      <c r="U42" s="2217"/>
      <c r="V42" s="2217"/>
      <c r="W42" s="2217"/>
      <c r="X42" s="2217"/>
      <c r="Y42" s="2217"/>
      <c r="Z42" s="2217"/>
      <c r="AA42" s="2217"/>
      <c r="AB42" s="2217"/>
      <c r="AC42" s="2217"/>
      <c r="AD42" s="2217"/>
      <c r="AE42" s="2217"/>
      <c r="AF42" s="2217"/>
      <c r="AG42" s="2217"/>
      <c r="AH42" s="2217"/>
      <c r="AI42" s="2217"/>
      <c r="AJ42" s="2217"/>
      <c r="AK42" s="2217"/>
      <c r="AL42" s="2201"/>
      <c r="AM42" s="2202"/>
      <c r="AN42" s="2202"/>
      <c r="AO42" s="2203"/>
      <c r="AP42" s="2201"/>
      <c r="AQ42" s="2202"/>
      <c r="AR42" s="2203"/>
      <c r="AS42" s="2204">
        <f t="shared" si="2"/>
        <v>0</v>
      </c>
      <c r="AT42" s="2205"/>
      <c r="AU42" s="2205"/>
      <c r="AV42" s="2205"/>
      <c r="AW42" s="2205"/>
      <c r="AX42" s="2206"/>
      <c r="AY42" s="2207">
        <f t="shared" si="3"/>
        <v>0</v>
      </c>
      <c r="AZ42" s="2208"/>
      <c r="BA42" s="2208"/>
      <c r="BB42" s="2208"/>
      <c r="BC42" s="2208"/>
      <c r="BD42" s="2209"/>
      <c r="BE42" s="1215"/>
    </row>
    <row r="43" spans="1:58" ht="15.75" customHeight="1">
      <c r="A43" s="1208"/>
      <c r="B43" s="2156" t="s">
        <v>2346</v>
      </c>
      <c r="C43" s="2157"/>
      <c r="D43" s="2157"/>
      <c r="E43" s="2157"/>
      <c r="F43" s="2157"/>
      <c r="G43" s="2157"/>
      <c r="H43" s="2157"/>
      <c r="I43" s="2157"/>
      <c r="J43" s="2216"/>
      <c r="K43" s="2216"/>
      <c r="L43" s="2216"/>
      <c r="M43" s="2216"/>
      <c r="N43" s="2216"/>
      <c r="O43" s="2216"/>
      <c r="P43" s="2216"/>
      <c r="Q43" s="2216"/>
      <c r="R43" s="2217"/>
      <c r="S43" s="2217"/>
      <c r="T43" s="2217"/>
      <c r="U43" s="2217"/>
      <c r="V43" s="2217"/>
      <c r="W43" s="2217"/>
      <c r="X43" s="2217"/>
      <c r="Y43" s="2217"/>
      <c r="Z43" s="2217"/>
      <c r="AA43" s="2217"/>
      <c r="AB43" s="2217"/>
      <c r="AC43" s="2217"/>
      <c r="AD43" s="2217"/>
      <c r="AE43" s="2217"/>
      <c r="AF43" s="2217"/>
      <c r="AG43" s="2217"/>
      <c r="AH43" s="2217"/>
      <c r="AI43" s="2217"/>
      <c r="AJ43" s="2217"/>
      <c r="AK43" s="2217"/>
      <c r="AL43" s="2201"/>
      <c r="AM43" s="2202"/>
      <c r="AN43" s="2202"/>
      <c r="AO43" s="2203"/>
      <c r="AP43" s="2201"/>
      <c r="AQ43" s="2202"/>
      <c r="AR43" s="2203"/>
      <c r="AS43" s="2204">
        <f t="shared" si="2"/>
        <v>0</v>
      </c>
      <c r="AT43" s="2205"/>
      <c r="AU43" s="2205"/>
      <c r="AV43" s="2205"/>
      <c r="AW43" s="2205"/>
      <c r="AX43" s="2206"/>
      <c r="AY43" s="2207">
        <f t="shared" si="3"/>
        <v>0</v>
      </c>
      <c r="AZ43" s="2208"/>
      <c r="BA43" s="2208"/>
      <c r="BB43" s="2208"/>
      <c r="BC43" s="2208"/>
      <c r="BD43" s="2209"/>
      <c r="BE43" s="1215"/>
    </row>
    <row r="44" spans="1:58" ht="15.75" customHeight="1">
      <c r="A44" s="1208"/>
      <c r="B44" s="2156" t="s">
        <v>2345</v>
      </c>
      <c r="C44" s="2157"/>
      <c r="D44" s="2157"/>
      <c r="E44" s="2157"/>
      <c r="F44" s="2157"/>
      <c r="G44" s="2157"/>
      <c r="H44" s="2157"/>
      <c r="I44" s="2157"/>
      <c r="J44" s="2216"/>
      <c r="K44" s="2216"/>
      <c r="L44" s="2216"/>
      <c r="M44" s="2216"/>
      <c r="N44" s="2216"/>
      <c r="O44" s="2216"/>
      <c r="P44" s="2216"/>
      <c r="Q44" s="2216"/>
      <c r="R44" s="2217"/>
      <c r="S44" s="2217"/>
      <c r="T44" s="2217"/>
      <c r="U44" s="2217"/>
      <c r="V44" s="2217"/>
      <c r="W44" s="2217"/>
      <c r="X44" s="2217"/>
      <c r="Y44" s="2217"/>
      <c r="Z44" s="2217"/>
      <c r="AA44" s="2217"/>
      <c r="AB44" s="2217"/>
      <c r="AC44" s="2217"/>
      <c r="AD44" s="2217"/>
      <c r="AE44" s="2217"/>
      <c r="AF44" s="2217"/>
      <c r="AG44" s="2217"/>
      <c r="AH44" s="2217"/>
      <c r="AI44" s="2217"/>
      <c r="AJ44" s="2217"/>
      <c r="AK44" s="2217"/>
      <c r="AL44" s="2201"/>
      <c r="AM44" s="2202"/>
      <c r="AN44" s="2202"/>
      <c r="AO44" s="2203"/>
      <c r="AP44" s="2201"/>
      <c r="AQ44" s="2202"/>
      <c r="AR44" s="2203"/>
      <c r="AS44" s="2204">
        <f t="shared" si="2"/>
        <v>0</v>
      </c>
      <c r="AT44" s="2205"/>
      <c r="AU44" s="2205"/>
      <c r="AV44" s="2205"/>
      <c r="AW44" s="2205"/>
      <c r="AX44" s="2206"/>
      <c r="AY44" s="2207">
        <f t="shared" si="3"/>
        <v>0</v>
      </c>
      <c r="AZ44" s="2208"/>
      <c r="BA44" s="2208"/>
      <c r="BB44" s="2208"/>
      <c r="BC44" s="2208"/>
      <c r="BD44" s="2209"/>
      <c r="BE44" s="1215"/>
    </row>
    <row r="45" spans="1:58" ht="15.75" customHeight="1">
      <c r="A45" s="1208"/>
      <c r="B45" s="2156" t="s">
        <v>2344</v>
      </c>
      <c r="C45" s="2157"/>
      <c r="D45" s="2157"/>
      <c r="E45" s="2157"/>
      <c r="F45" s="2157"/>
      <c r="G45" s="2157"/>
      <c r="H45" s="2157"/>
      <c r="I45" s="2157"/>
      <c r="J45" s="2216"/>
      <c r="K45" s="2216"/>
      <c r="L45" s="2216"/>
      <c r="M45" s="2216"/>
      <c r="N45" s="2216"/>
      <c r="O45" s="2216"/>
      <c r="P45" s="2216"/>
      <c r="Q45" s="2216"/>
      <c r="R45" s="2217"/>
      <c r="S45" s="2217"/>
      <c r="T45" s="2217"/>
      <c r="U45" s="2217"/>
      <c r="V45" s="2217"/>
      <c r="W45" s="2217"/>
      <c r="X45" s="2217"/>
      <c r="Y45" s="2217"/>
      <c r="Z45" s="2217"/>
      <c r="AA45" s="2217"/>
      <c r="AB45" s="2217"/>
      <c r="AC45" s="2217"/>
      <c r="AD45" s="2217"/>
      <c r="AE45" s="2217"/>
      <c r="AF45" s="2217"/>
      <c r="AG45" s="2217"/>
      <c r="AH45" s="2217"/>
      <c r="AI45" s="2217"/>
      <c r="AJ45" s="2217"/>
      <c r="AK45" s="2217"/>
      <c r="AL45" s="2201"/>
      <c r="AM45" s="2202"/>
      <c r="AN45" s="2202"/>
      <c r="AO45" s="2203"/>
      <c r="AP45" s="2201"/>
      <c r="AQ45" s="2202"/>
      <c r="AR45" s="2203"/>
      <c r="AS45" s="2204">
        <f t="shared" si="2"/>
        <v>0</v>
      </c>
      <c r="AT45" s="2205"/>
      <c r="AU45" s="2205"/>
      <c r="AV45" s="2205"/>
      <c r="AW45" s="2205"/>
      <c r="AX45" s="2206"/>
      <c r="AY45" s="2207">
        <f t="shared" si="3"/>
        <v>0</v>
      </c>
      <c r="AZ45" s="2208"/>
      <c r="BA45" s="2208"/>
      <c r="BB45" s="2208"/>
      <c r="BC45" s="2208"/>
      <c r="BD45" s="2209"/>
      <c r="BE45" s="1215"/>
    </row>
    <row r="46" spans="1:58" ht="15.75" customHeight="1">
      <c r="A46" s="1208"/>
      <c r="B46" s="2156" t="s">
        <v>2276</v>
      </c>
      <c r="C46" s="2157"/>
      <c r="D46" s="2157"/>
      <c r="E46" s="2157"/>
      <c r="F46" s="2157"/>
      <c r="G46" s="2157"/>
      <c r="H46" s="2157"/>
      <c r="I46" s="2157"/>
      <c r="J46" s="2216"/>
      <c r="K46" s="2216"/>
      <c r="L46" s="2216"/>
      <c r="M46" s="2216"/>
      <c r="N46" s="2216">
        <v>99</v>
      </c>
      <c r="O46" s="2216"/>
      <c r="P46" s="2216"/>
      <c r="Q46" s="2216"/>
      <c r="R46" s="2217"/>
      <c r="S46" s="2217"/>
      <c r="T46" s="2217"/>
      <c r="U46" s="2217"/>
      <c r="V46" s="2217"/>
      <c r="W46" s="2217"/>
      <c r="X46" s="2217"/>
      <c r="Y46" s="2217"/>
      <c r="Z46" s="2217"/>
      <c r="AA46" s="2217"/>
      <c r="AB46" s="2217"/>
      <c r="AC46" s="2217"/>
      <c r="AD46" s="2217"/>
      <c r="AE46" s="2217"/>
      <c r="AF46" s="2217"/>
      <c r="AG46" s="2217"/>
      <c r="AH46" s="2217"/>
      <c r="AI46" s="2217"/>
      <c r="AJ46" s="2217"/>
      <c r="AK46" s="2217"/>
      <c r="AL46" s="2201"/>
      <c r="AM46" s="2202"/>
      <c r="AN46" s="2202"/>
      <c r="AO46" s="2203"/>
      <c r="AP46" s="2201"/>
      <c r="AQ46" s="2202"/>
      <c r="AR46" s="2203"/>
      <c r="AS46" s="2204">
        <f t="shared" si="2"/>
        <v>0</v>
      </c>
      <c r="AT46" s="2205"/>
      <c r="AU46" s="2205"/>
      <c r="AV46" s="2205"/>
      <c r="AW46" s="2205"/>
      <c r="AX46" s="2206"/>
      <c r="AY46" s="2207">
        <f t="shared" si="3"/>
        <v>0</v>
      </c>
      <c r="AZ46" s="2208"/>
      <c r="BA46" s="2208"/>
      <c r="BB46" s="2208"/>
      <c r="BC46" s="2208"/>
      <c r="BD46" s="2209"/>
      <c r="BE46" s="1215"/>
    </row>
    <row r="47" spans="1:58" ht="15.75" customHeight="1" thickBot="1">
      <c r="A47" s="1208"/>
      <c r="B47" s="2210" t="s">
        <v>300</v>
      </c>
      <c r="C47" s="2211"/>
      <c r="D47" s="2211"/>
      <c r="E47" s="2211"/>
      <c r="F47" s="2211"/>
      <c r="G47" s="2211"/>
      <c r="H47" s="2211"/>
      <c r="I47" s="2211"/>
      <c r="J47" s="2212"/>
      <c r="K47" s="2212"/>
      <c r="L47" s="2212"/>
      <c r="M47" s="2212"/>
      <c r="N47" s="2212"/>
      <c r="O47" s="2212"/>
      <c r="P47" s="2212"/>
      <c r="Q47" s="2212"/>
      <c r="R47" s="2197"/>
      <c r="S47" s="2197"/>
      <c r="T47" s="2197"/>
      <c r="U47" s="2197"/>
      <c r="V47" s="2197"/>
      <c r="W47" s="2197"/>
      <c r="X47" s="2197"/>
      <c r="Y47" s="2197"/>
      <c r="Z47" s="2197"/>
      <c r="AA47" s="2197"/>
      <c r="AB47" s="2197"/>
      <c r="AC47" s="2197"/>
      <c r="AD47" s="2197"/>
      <c r="AE47" s="2197"/>
      <c r="AF47" s="2197"/>
      <c r="AG47" s="2197"/>
      <c r="AH47" s="2197"/>
      <c r="AI47" s="2197"/>
      <c r="AJ47" s="2197"/>
      <c r="AK47" s="2197"/>
      <c r="AL47" s="2198"/>
      <c r="AM47" s="2199"/>
      <c r="AN47" s="2199"/>
      <c r="AO47" s="2200"/>
      <c r="AP47" s="2198"/>
      <c r="AQ47" s="2199"/>
      <c r="AR47" s="2200"/>
      <c r="AS47" s="2204">
        <f t="shared" si="2"/>
        <v>0</v>
      </c>
      <c r="AT47" s="2205"/>
      <c r="AU47" s="2205"/>
      <c r="AV47" s="2205"/>
      <c r="AW47" s="2205"/>
      <c r="AX47" s="2206"/>
      <c r="AY47" s="2213">
        <f t="shared" si="3"/>
        <v>0</v>
      </c>
      <c r="AZ47" s="2214"/>
      <c r="BA47" s="2214"/>
      <c r="BB47" s="2214"/>
      <c r="BC47" s="2214"/>
      <c r="BD47" s="2215"/>
      <c r="BE47" s="1215"/>
    </row>
    <row r="48" spans="1:58" ht="15.75" customHeight="1">
      <c r="A48" s="1208"/>
      <c r="B48" s="1217" t="s">
        <v>2343</v>
      </c>
      <c r="C48" s="1208"/>
      <c r="D48" s="1208"/>
      <c r="E48" s="1208"/>
      <c r="F48" s="1208"/>
      <c r="G48" s="1208"/>
      <c r="H48" s="1208"/>
      <c r="I48" s="1208"/>
      <c r="J48" s="1208"/>
      <c r="K48" s="1208"/>
      <c r="L48" s="1208"/>
      <c r="M48" s="1208"/>
      <c r="N48" s="1208"/>
      <c r="O48" s="1208"/>
      <c r="P48" s="1208"/>
      <c r="Q48" s="1208"/>
      <c r="R48" s="1208"/>
      <c r="S48" s="1208"/>
      <c r="T48" s="1208"/>
      <c r="U48" s="1208"/>
      <c r="V48" s="1208"/>
      <c r="W48" s="1208"/>
      <c r="X48" s="1208"/>
      <c r="Y48" s="1208"/>
      <c r="Z48" s="1208"/>
      <c r="AA48" s="1208"/>
      <c r="AB48" s="1208"/>
      <c r="AC48" s="1208"/>
      <c r="AD48" s="1208"/>
      <c r="AE48" s="1208"/>
      <c r="AF48" s="1208"/>
      <c r="AG48" s="1208"/>
      <c r="AH48" s="1208"/>
      <c r="AI48" s="1208"/>
      <c r="AJ48" s="1208"/>
      <c r="AK48" s="1208"/>
      <c r="AL48" s="1208"/>
      <c r="AM48" s="1208"/>
      <c r="AN48" s="1208"/>
      <c r="AO48" s="1208"/>
      <c r="AP48" s="1208"/>
      <c r="AQ48" s="1208"/>
      <c r="AR48" s="1208"/>
      <c r="AS48" s="1208"/>
      <c r="AT48" s="1208"/>
      <c r="AU48" s="1208"/>
      <c r="AV48" s="1208"/>
      <c r="AW48" s="1208"/>
      <c r="AX48" s="1208"/>
      <c r="AY48" s="1208"/>
      <c r="AZ48" s="1208"/>
      <c r="BA48" s="1208"/>
      <c r="BB48" s="1208"/>
      <c r="BC48" s="1208"/>
      <c r="BD48" s="1208"/>
      <c r="BE48" s="1215"/>
      <c r="BF48" s="1206"/>
    </row>
    <row r="49" spans="1:77" ht="15.75" customHeight="1" thickBot="1">
      <c r="A49" s="1208"/>
      <c r="B49" s="1217" t="s">
        <v>2342</v>
      </c>
      <c r="C49" s="1208"/>
      <c r="D49" s="1208"/>
      <c r="E49" s="1208"/>
      <c r="F49" s="1208"/>
      <c r="G49" s="1208"/>
      <c r="H49" s="1208"/>
      <c r="I49" s="1208"/>
      <c r="J49" s="1208"/>
      <c r="K49" s="1208"/>
      <c r="L49" s="1208"/>
      <c r="M49" s="1208"/>
      <c r="N49" s="1208"/>
      <c r="O49" s="1208"/>
      <c r="P49" s="1208"/>
      <c r="Q49" s="1208"/>
      <c r="R49" s="1208"/>
      <c r="S49" s="1208"/>
      <c r="T49" s="1208"/>
      <c r="U49" s="1208"/>
      <c r="V49" s="1208"/>
      <c r="W49" s="1208"/>
      <c r="X49" s="1208"/>
      <c r="Y49" s="1208"/>
      <c r="Z49" s="1208"/>
      <c r="AA49" s="1208"/>
      <c r="AB49" s="1208"/>
      <c r="AC49" s="1208"/>
      <c r="AD49" s="1208"/>
      <c r="AE49" s="1208"/>
      <c r="AF49" s="1208"/>
      <c r="AG49" s="1208"/>
      <c r="AH49" s="1208"/>
      <c r="AI49" s="1208"/>
      <c r="AJ49" s="1208"/>
      <c r="AK49" s="1208"/>
      <c r="AL49" s="1208"/>
      <c r="AM49" s="1208"/>
      <c r="AN49" s="1208"/>
      <c r="AO49" s="1208"/>
      <c r="AP49" s="1209"/>
      <c r="AQ49" s="1209"/>
      <c r="AR49" s="1209"/>
      <c r="AS49" s="1209"/>
      <c r="AT49" s="1209"/>
      <c r="AU49" s="1209"/>
      <c r="AV49" s="1209"/>
      <c r="AW49" s="1209"/>
      <c r="AX49" s="1208"/>
      <c r="AY49" s="1208"/>
      <c r="AZ49" s="1208"/>
      <c r="BA49" s="1208"/>
      <c r="BB49" s="1208"/>
      <c r="BC49" s="1208"/>
      <c r="BD49" s="1208"/>
      <c r="BE49" s="1215"/>
      <c r="BF49" s="1206"/>
    </row>
    <row r="50" spans="1:77" ht="15.75" customHeight="1">
      <c r="A50" s="1208"/>
      <c r="B50" s="2075" t="s">
        <v>2341</v>
      </c>
      <c r="C50" s="2031"/>
      <c r="D50" s="2031"/>
      <c r="E50" s="2031"/>
      <c r="F50" s="2031"/>
      <c r="G50" s="2031"/>
      <c r="H50" s="2031"/>
      <c r="I50" s="2031"/>
      <c r="J50" s="2031"/>
      <c r="K50" s="2031"/>
      <c r="L50" s="2031"/>
      <c r="M50" s="2031"/>
      <c r="N50" s="2031"/>
      <c r="O50" s="2031"/>
      <c r="P50" s="2031"/>
      <c r="Q50" s="2031"/>
      <c r="R50" s="2031"/>
      <c r="S50" s="2031"/>
      <c r="T50" s="2031"/>
      <c r="U50" s="2031"/>
      <c r="V50" s="2031"/>
      <c r="W50" s="2031"/>
      <c r="X50" s="2031"/>
      <c r="Y50" s="2031"/>
      <c r="Z50" s="2031"/>
      <c r="AA50" s="2031"/>
      <c r="AB50" s="2031"/>
      <c r="AC50" s="2031"/>
      <c r="AD50" s="2031"/>
      <c r="AE50" s="2031"/>
      <c r="AF50" s="2031"/>
      <c r="AG50" s="2031"/>
      <c r="AH50" s="2031"/>
      <c r="AI50" s="2031"/>
      <c r="AJ50" s="2031"/>
      <c r="AK50" s="2031"/>
      <c r="AL50" s="2031"/>
      <c r="AM50" s="2031"/>
      <c r="AN50" s="2031"/>
      <c r="AO50" s="2032"/>
      <c r="AP50" s="1209"/>
      <c r="AQ50" s="1209"/>
      <c r="AR50" s="1209"/>
      <c r="AS50" s="1209"/>
      <c r="AT50" s="1209"/>
      <c r="AU50" s="1209"/>
      <c r="AV50" s="1209"/>
      <c r="AW50" s="1209"/>
      <c r="AX50" s="1208"/>
      <c r="AY50" s="1208"/>
      <c r="AZ50" s="1208"/>
      <c r="BA50" s="1208"/>
      <c r="BB50" s="1208"/>
      <c r="BC50" s="1208"/>
      <c r="BD50" s="1208"/>
      <c r="BE50" s="1215"/>
    </row>
    <row r="51" spans="1:77" ht="33.75" customHeight="1">
      <c r="A51" s="1208"/>
      <c r="B51" s="2109" t="s">
        <v>2334</v>
      </c>
      <c r="C51" s="2103"/>
      <c r="D51" s="2103"/>
      <c r="E51" s="2103"/>
      <c r="F51" s="2103"/>
      <c r="G51" s="2103"/>
      <c r="H51" s="2103"/>
      <c r="I51" s="2103"/>
      <c r="J51" s="2103" t="s">
        <v>2340</v>
      </c>
      <c r="K51" s="2103"/>
      <c r="L51" s="2103"/>
      <c r="M51" s="2103"/>
      <c r="N51" s="2103"/>
      <c r="O51" s="2103"/>
      <c r="P51" s="2103"/>
      <c r="Q51" s="2103"/>
      <c r="R51" s="2195" t="s">
        <v>2339</v>
      </c>
      <c r="S51" s="2195"/>
      <c r="T51" s="2195"/>
      <c r="U51" s="2195"/>
      <c r="V51" s="2195"/>
      <c r="W51" s="2195"/>
      <c r="X51" s="2195"/>
      <c r="Y51" s="2195"/>
      <c r="Z51" s="2195" t="s">
        <v>2338</v>
      </c>
      <c r="AA51" s="2195"/>
      <c r="AB51" s="2195"/>
      <c r="AC51" s="2195"/>
      <c r="AD51" s="2195"/>
      <c r="AE51" s="2195"/>
      <c r="AF51" s="2195"/>
      <c r="AG51" s="2195"/>
      <c r="AH51" s="2195" t="s">
        <v>2337</v>
      </c>
      <c r="AI51" s="2195"/>
      <c r="AJ51" s="2195"/>
      <c r="AK51" s="2195"/>
      <c r="AL51" s="2195"/>
      <c r="AM51" s="2195"/>
      <c r="AN51" s="2195"/>
      <c r="AO51" s="2196"/>
      <c r="AP51" s="1209"/>
      <c r="AQ51" s="1209"/>
      <c r="AR51" s="1209"/>
      <c r="AS51" s="1209"/>
      <c r="AT51" s="1209"/>
      <c r="AU51" s="1209"/>
      <c r="AV51" s="1209"/>
      <c r="AW51" s="1209"/>
      <c r="AX51" s="1216"/>
      <c r="AY51" s="1208"/>
      <c r="AZ51" s="1208"/>
      <c r="BA51" s="1208"/>
      <c r="BB51" s="1208"/>
      <c r="BC51" s="1208"/>
      <c r="BD51" s="1208"/>
      <c r="BE51" s="1215"/>
    </row>
    <row r="52" spans="1:77" ht="15.75" customHeight="1">
      <c r="A52" s="1208"/>
      <c r="B52" s="2156" t="s">
        <v>2336</v>
      </c>
      <c r="C52" s="2157"/>
      <c r="D52" s="2157"/>
      <c r="E52" s="2157"/>
      <c r="F52" s="2157"/>
      <c r="G52" s="2157"/>
      <c r="H52" s="2157"/>
      <c r="I52" s="2157"/>
      <c r="J52" s="1992">
        <v>0</v>
      </c>
      <c r="K52" s="1992"/>
      <c r="L52" s="1992"/>
      <c r="M52" s="1992"/>
      <c r="N52" s="1992"/>
      <c r="O52" s="1992"/>
      <c r="P52" s="1992"/>
      <c r="Q52" s="1992"/>
      <c r="R52" s="2187">
        <v>0</v>
      </c>
      <c r="S52" s="2187"/>
      <c r="T52" s="2187"/>
      <c r="U52" s="2187"/>
      <c r="V52" s="2187"/>
      <c r="W52" s="2187"/>
      <c r="X52" s="2187"/>
      <c r="Y52" s="2187"/>
      <c r="Z52" s="2188">
        <v>0</v>
      </c>
      <c r="AA52" s="2188"/>
      <c r="AB52" s="2188"/>
      <c r="AC52" s="2188"/>
      <c r="AD52" s="2188"/>
      <c r="AE52" s="2188"/>
      <c r="AF52" s="2188"/>
      <c r="AG52" s="2188"/>
      <c r="AH52" s="2189"/>
      <c r="AI52" s="2189"/>
      <c r="AJ52" s="2189"/>
      <c r="AK52" s="2189"/>
      <c r="AL52" s="2189"/>
      <c r="AM52" s="2189"/>
      <c r="AN52" s="2189"/>
      <c r="AO52" s="2190"/>
      <c r="AP52" s="1209"/>
      <c r="AQ52" s="1209"/>
      <c r="AR52" s="1209"/>
      <c r="AS52" s="1209"/>
      <c r="AT52" s="1209"/>
      <c r="AU52" s="1209"/>
      <c r="AV52" s="1209"/>
      <c r="AW52" s="1209"/>
      <c r="AX52" s="1216"/>
      <c r="AY52" s="1208"/>
      <c r="AZ52" s="1208"/>
      <c r="BA52" s="1208"/>
      <c r="BB52" s="1208"/>
      <c r="BC52" s="1208"/>
      <c r="BD52" s="1208"/>
      <c r="BE52" s="1215"/>
    </row>
    <row r="53" spans="1:77" ht="15.75" customHeight="1">
      <c r="A53" s="1208"/>
      <c r="B53" s="2156" t="s">
        <v>2335</v>
      </c>
      <c r="C53" s="2157"/>
      <c r="D53" s="2157"/>
      <c r="E53" s="2157"/>
      <c r="F53" s="2157"/>
      <c r="G53" s="2157"/>
      <c r="H53" s="2157"/>
      <c r="I53" s="2157"/>
      <c r="J53" s="1992">
        <v>0</v>
      </c>
      <c r="K53" s="1992"/>
      <c r="L53" s="1992"/>
      <c r="M53" s="1992"/>
      <c r="N53" s="1992"/>
      <c r="O53" s="1992"/>
      <c r="P53" s="1992"/>
      <c r="Q53" s="1992"/>
      <c r="R53" s="2187">
        <v>0</v>
      </c>
      <c r="S53" s="2187"/>
      <c r="T53" s="2187"/>
      <c r="U53" s="2187"/>
      <c r="V53" s="2187"/>
      <c r="W53" s="2187"/>
      <c r="X53" s="2187"/>
      <c r="Y53" s="2187"/>
      <c r="Z53" s="2188">
        <v>0</v>
      </c>
      <c r="AA53" s="2188"/>
      <c r="AB53" s="2188"/>
      <c r="AC53" s="2188"/>
      <c r="AD53" s="2188"/>
      <c r="AE53" s="2188"/>
      <c r="AF53" s="2188"/>
      <c r="AG53" s="2188"/>
      <c r="AH53" s="2189"/>
      <c r="AI53" s="2189"/>
      <c r="AJ53" s="2189"/>
      <c r="AK53" s="2189"/>
      <c r="AL53" s="2189"/>
      <c r="AM53" s="2189"/>
      <c r="AN53" s="2189"/>
      <c r="AO53" s="2190"/>
      <c r="AP53" s="1209"/>
      <c r="AQ53" s="1209"/>
      <c r="AR53" s="1209"/>
      <c r="AS53" s="1209"/>
      <c r="AT53" s="1209"/>
      <c r="AU53" s="1209"/>
      <c r="AV53" s="1209"/>
      <c r="AW53" s="1209"/>
      <c r="AX53" s="1208"/>
      <c r="AY53" s="1208"/>
      <c r="AZ53" s="1208"/>
      <c r="BA53" s="1208"/>
      <c r="BB53" s="1208"/>
      <c r="BC53" s="1208"/>
      <c r="BD53" s="1208"/>
      <c r="BE53" s="1215"/>
    </row>
    <row r="54" spans="1:77" ht="15.75" customHeight="1">
      <c r="A54" s="1208"/>
      <c r="B54" s="2156"/>
      <c r="C54" s="2157"/>
      <c r="D54" s="2157"/>
      <c r="E54" s="2157"/>
      <c r="F54" s="2157"/>
      <c r="G54" s="2157"/>
      <c r="H54" s="2157"/>
      <c r="I54" s="2157"/>
      <c r="J54" s="1992"/>
      <c r="K54" s="1992"/>
      <c r="L54" s="1992"/>
      <c r="M54" s="1992"/>
      <c r="N54" s="1992"/>
      <c r="O54" s="1992"/>
      <c r="P54" s="1992"/>
      <c r="Q54" s="1992"/>
      <c r="R54" s="2187"/>
      <c r="S54" s="2187"/>
      <c r="T54" s="2187"/>
      <c r="U54" s="2187"/>
      <c r="V54" s="2187"/>
      <c r="W54" s="2187"/>
      <c r="X54" s="2187"/>
      <c r="Y54" s="2187"/>
      <c r="Z54" s="2188"/>
      <c r="AA54" s="2188"/>
      <c r="AB54" s="2188"/>
      <c r="AC54" s="2188"/>
      <c r="AD54" s="2188"/>
      <c r="AE54" s="2188"/>
      <c r="AF54" s="2188"/>
      <c r="AG54" s="2188"/>
      <c r="AH54" s="2189"/>
      <c r="AI54" s="2189"/>
      <c r="AJ54" s="2189"/>
      <c r="AK54" s="2189"/>
      <c r="AL54" s="2189"/>
      <c r="AM54" s="2189"/>
      <c r="AN54" s="2189"/>
      <c r="AO54" s="2190"/>
      <c r="AP54" s="1209"/>
      <c r="AQ54" s="1209"/>
      <c r="AR54" s="1209"/>
      <c r="AS54" s="1209"/>
      <c r="AT54" s="1209"/>
      <c r="AU54" s="1209"/>
      <c r="AV54" s="1209"/>
      <c r="AW54" s="1209"/>
      <c r="AX54" s="1208"/>
      <c r="AY54" s="1208"/>
      <c r="AZ54" s="1208"/>
      <c r="BA54" s="1208"/>
      <c r="BB54" s="1208"/>
      <c r="BC54" s="1208"/>
      <c r="BD54" s="1208"/>
      <c r="BE54" s="1215"/>
    </row>
    <row r="55" spans="1:77" ht="15.75" customHeight="1">
      <c r="A55" s="1208"/>
      <c r="B55" s="2156"/>
      <c r="C55" s="2157"/>
      <c r="D55" s="2157"/>
      <c r="E55" s="2157"/>
      <c r="F55" s="2157"/>
      <c r="G55" s="2157"/>
      <c r="H55" s="2157"/>
      <c r="I55" s="2157"/>
      <c r="J55" s="1992"/>
      <c r="K55" s="1992"/>
      <c r="L55" s="1992"/>
      <c r="M55" s="1992"/>
      <c r="N55" s="1992"/>
      <c r="O55" s="1992"/>
      <c r="P55" s="1992"/>
      <c r="Q55" s="1992"/>
      <c r="R55" s="2187"/>
      <c r="S55" s="2187"/>
      <c r="T55" s="2187"/>
      <c r="U55" s="2187"/>
      <c r="V55" s="2187"/>
      <c r="W55" s="2187"/>
      <c r="X55" s="2187"/>
      <c r="Y55" s="2187"/>
      <c r="Z55" s="2188"/>
      <c r="AA55" s="2188"/>
      <c r="AB55" s="2188"/>
      <c r="AC55" s="2188"/>
      <c r="AD55" s="2188"/>
      <c r="AE55" s="2188"/>
      <c r="AF55" s="2188"/>
      <c r="AG55" s="2188"/>
      <c r="AH55" s="2189"/>
      <c r="AI55" s="2189"/>
      <c r="AJ55" s="2189"/>
      <c r="AK55" s="2189"/>
      <c r="AL55" s="2189"/>
      <c r="AM55" s="2189"/>
      <c r="AN55" s="2189"/>
      <c r="AO55" s="2190"/>
      <c r="AP55" s="1209"/>
      <c r="AQ55" s="1209"/>
      <c r="AR55" s="1209"/>
      <c r="AS55" s="1209"/>
      <c r="AT55" s="1209" t="s">
        <v>250</v>
      </c>
      <c r="AU55" s="1209"/>
      <c r="AV55" s="1209"/>
      <c r="AW55" s="1209"/>
      <c r="AX55" s="1208"/>
      <c r="AY55" s="1208"/>
      <c r="AZ55" s="1208"/>
      <c r="BA55" s="1208"/>
      <c r="BB55" s="1208"/>
      <c r="BC55" s="1208"/>
      <c r="BD55" s="1208"/>
      <c r="BE55" s="1215"/>
    </row>
    <row r="56" spans="1:77" ht="15.75" customHeight="1">
      <c r="A56" s="1208"/>
      <c r="B56" s="2156"/>
      <c r="C56" s="2157"/>
      <c r="D56" s="2157"/>
      <c r="E56" s="2157"/>
      <c r="F56" s="2157"/>
      <c r="G56" s="2157"/>
      <c r="H56" s="2157"/>
      <c r="I56" s="2157"/>
      <c r="J56" s="1992"/>
      <c r="K56" s="1992"/>
      <c r="L56" s="1992"/>
      <c r="M56" s="1992"/>
      <c r="N56" s="1992"/>
      <c r="O56" s="1992"/>
      <c r="P56" s="1992"/>
      <c r="Q56" s="1992"/>
      <c r="R56" s="2187"/>
      <c r="S56" s="2187"/>
      <c r="T56" s="2187"/>
      <c r="U56" s="2187"/>
      <c r="V56" s="2187"/>
      <c r="W56" s="2187"/>
      <c r="X56" s="2187"/>
      <c r="Y56" s="2187"/>
      <c r="Z56" s="2188"/>
      <c r="AA56" s="2188"/>
      <c r="AB56" s="2188"/>
      <c r="AC56" s="2188"/>
      <c r="AD56" s="2188"/>
      <c r="AE56" s="2188"/>
      <c r="AF56" s="2188"/>
      <c r="AG56" s="2188"/>
      <c r="AH56" s="2189"/>
      <c r="AI56" s="2189"/>
      <c r="AJ56" s="2189"/>
      <c r="AK56" s="2189"/>
      <c r="AL56" s="2189"/>
      <c r="AM56" s="2189"/>
      <c r="AN56" s="2189"/>
      <c r="AO56" s="2190"/>
      <c r="AP56" s="1209"/>
      <c r="AQ56" s="1209"/>
      <c r="AR56" s="1209"/>
      <c r="AS56" s="1209"/>
      <c r="AT56" s="1209"/>
      <c r="AU56" s="1209"/>
      <c r="AV56" s="1209"/>
      <c r="AW56" s="1209"/>
      <c r="AX56" s="1208"/>
      <c r="AY56" s="1208"/>
      <c r="AZ56" s="1208"/>
      <c r="BA56" s="1208"/>
      <c r="BB56" s="1208"/>
      <c r="BC56" s="1208"/>
      <c r="BD56" s="1208"/>
      <c r="BE56" s="1215"/>
    </row>
    <row r="57" spans="1:77" s="1219" customFormat="1" ht="15.75" customHeight="1" thickBot="1">
      <c r="A57" s="1209"/>
      <c r="B57" s="2137" t="s">
        <v>1575</v>
      </c>
      <c r="C57" s="2138"/>
      <c r="D57" s="2138"/>
      <c r="E57" s="2138"/>
      <c r="F57" s="2138"/>
      <c r="G57" s="2138"/>
      <c r="H57" s="2138"/>
      <c r="I57" s="2138"/>
      <c r="J57" s="2138"/>
      <c r="K57" s="2138"/>
      <c r="L57" s="2138"/>
      <c r="M57" s="2138"/>
      <c r="N57" s="2138"/>
      <c r="O57" s="2138"/>
      <c r="P57" s="2138"/>
      <c r="Q57" s="2138"/>
      <c r="R57" s="2191">
        <f>SUM(R52:Y56)</f>
        <v>0</v>
      </c>
      <c r="S57" s="2191"/>
      <c r="T57" s="2191"/>
      <c r="U57" s="2191"/>
      <c r="V57" s="2191"/>
      <c r="W57" s="2191"/>
      <c r="X57" s="2191"/>
      <c r="Y57" s="2191"/>
      <c r="Z57" s="2192">
        <f>SUM(Z52:AG56)</f>
        <v>0</v>
      </c>
      <c r="AA57" s="2192"/>
      <c r="AB57" s="2192"/>
      <c r="AC57" s="2192"/>
      <c r="AD57" s="2192"/>
      <c r="AE57" s="2192"/>
      <c r="AF57" s="2192"/>
      <c r="AG57" s="2192"/>
      <c r="AH57" s="2193"/>
      <c r="AI57" s="2193"/>
      <c r="AJ57" s="2193"/>
      <c r="AK57" s="2193"/>
      <c r="AL57" s="2193"/>
      <c r="AM57" s="2193"/>
      <c r="AN57" s="2193"/>
      <c r="AO57" s="2194"/>
      <c r="AP57" s="1209"/>
      <c r="AQ57" s="1209"/>
      <c r="AR57" s="1209"/>
      <c r="AS57" s="1209"/>
      <c r="AT57" s="1209"/>
      <c r="AU57" s="1209"/>
      <c r="AV57" s="1209"/>
      <c r="AW57" s="1209"/>
      <c r="AX57" s="1209"/>
      <c r="AY57" s="1209"/>
      <c r="AZ57" s="1209"/>
      <c r="BA57" s="1209"/>
      <c r="BB57" s="1209"/>
      <c r="BC57" s="1209"/>
      <c r="BD57" s="1209"/>
      <c r="BE57" s="1218"/>
      <c r="BN57" s="1220"/>
      <c r="BO57" s="1220"/>
      <c r="BP57" s="1220"/>
      <c r="BQ57" s="1220"/>
      <c r="BR57" s="1220"/>
      <c r="BS57" s="1220"/>
      <c r="BT57" s="1220"/>
      <c r="BU57" s="1220"/>
      <c r="BV57" s="1220"/>
      <c r="BW57" s="1220"/>
      <c r="BX57" s="1220"/>
      <c r="BY57" s="1220"/>
    </row>
    <row r="58" spans="1:77" ht="15.75" customHeight="1" thickBot="1">
      <c r="A58" s="1208"/>
      <c r="B58" s="1208"/>
      <c r="C58" s="1208"/>
      <c r="D58" s="1208"/>
      <c r="E58" s="1208"/>
      <c r="F58" s="1208"/>
      <c r="G58" s="1208"/>
      <c r="H58" s="1208"/>
      <c r="I58" s="1208"/>
      <c r="J58" s="1208"/>
      <c r="K58" s="1208"/>
      <c r="L58" s="1208"/>
      <c r="M58" s="1208"/>
      <c r="N58" s="1208"/>
      <c r="O58" s="1208"/>
      <c r="P58" s="1208"/>
      <c r="Q58" s="1208"/>
      <c r="R58" s="1208"/>
      <c r="S58" s="1208"/>
      <c r="T58" s="1208"/>
      <c r="U58" s="1208"/>
      <c r="V58" s="1208"/>
      <c r="W58" s="1208"/>
      <c r="X58" s="1208"/>
      <c r="Y58" s="1208"/>
      <c r="Z58" s="1208"/>
      <c r="AA58" s="1208"/>
      <c r="AB58" s="1208"/>
      <c r="AC58" s="1208"/>
      <c r="AD58" s="1208"/>
      <c r="AE58" s="1208"/>
      <c r="AF58" s="1208"/>
      <c r="AG58" s="1208"/>
      <c r="AH58" s="1208"/>
      <c r="AI58" s="1208"/>
      <c r="AJ58" s="1208"/>
      <c r="AK58" s="1208"/>
      <c r="AL58" s="1208"/>
      <c r="AM58" s="1208"/>
      <c r="AN58" s="1208"/>
      <c r="AO58" s="1208"/>
      <c r="AP58" s="1208"/>
      <c r="AQ58" s="1208"/>
      <c r="AR58" s="1208"/>
      <c r="AS58" s="1208"/>
      <c r="AT58" s="1208"/>
      <c r="AU58" s="1208"/>
      <c r="AV58" s="1208"/>
      <c r="AW58" s="1208"/>
      <c r="AX58" s="1208"/>
      <c r="AY58" s="1208"/>
      <c r="AZ58" s="1208"/>
      <c r="BA58" s="1208"/>
      <c r="BB58" s="1208"/>
      <c r="BC58" s="1208"/>
      <c r="BD58" s="1208"/>
      <c r="BE58" s="1215"/>
    </row>
    <row r="59" spans="1:77" ht="15.75" customHeight="1">
      <c r="A59" s="1208"/>
      <c r="B59" s="2184" t="s">
        <v>2334</v>
      </c>
      <c r="C59" s="2185"/>
      <c r="D59" s="2185"/>
      <c r="E59" s="2185"/>
      <c r="F59" s="2185"/>
      <c r="G59" s="2185"/>
      <c r="H59" s="2185"/>
      <c r="I59" s="2186"/>
      <c r="J59" s="2107" t="s">
        <v>2333</v>
      </c>
      <c r="K59" s="2107"/>
      <c r="L59" s="2107"/>
      <c r="M59" s="2107"/>
      <c r="N59" s="2107"/>
      <c r="O59" s="2107"/>
      <c r="P59" s="2107"/>
      <c r="Q59" s="2107"/>
      <c r="R59" s="2107"/>
      <c r="S59" s="2107"/>
      <c r="T59" s="2107"/>
      <c r="U59" s="2107"/>
      <c r="V59" s="2107"/>
      <c r="W59" s="2107"/>
      <c r="X59" s="2107"/>
      <c r="Y59" s="2107"/>
      <c r="Z59" s="2107"/>
      <c r="AA59" s="2107"/>
      <c r="AB59" s="2107"/>
      <c r="AC59" s="2107"/>
      <c r="AD59" s="2107"/>
      <c r="AE59" s="2107"/>
      <c r="AF59" s="2107"/>
      <c r="AG59" s="2107"/>
      <c r="AH59" s="2107"/>
      <c r="AI59" s="2107"/>
      <c r="AJ59" s="2107"/>
      <c r="AK59" s="2107"/>
      <c r="AL59" s="2107"/>
      <c r="AM59" s="2107"/>
      <c r="AN59" s="2107"/>
      <c r="AO59" s="2107"/>
      <c r="AP59" s="2107"/>
      <c r="AQ59" s="2107"/>
      <c r="AR59" s="2107"/>
      <c r="AS59" s="2107"/>
      <c r="AT59" s="2107"/>
      <c r="AU59" s="2107"/>
      <c r="AV59" s="2107"/>
      <c r="AW59" s="2108"/>
      <c r="AX59" s="1208"/>
      <c r="AY59" s="1208"/>
      <c r="AZ59" s="1208"/>
      <c r="BA59" s="1208"/>
      <c r="BB59" s="1208"/>
      <c r="BC59" s="1208"/>
      <c r="BD59" s="1208"/>
      <c r="BE59" s="1215"/>
    </row>
    <row r="60" spans="1:77" ht="15.75" customHeight="1">
      <c r="A60" s="1208"/>
      <c r="B60" s="2176" t="str">
        <f>IF(B52="", "", B52)</f>
        <v>Services Company 1</v>
      </c>
      <c r="C60" s="2177"/>
      <c r="D60" s="2177"/>
      <c r="E60" s="2177"/>
      <c r="F60" s="2177"/>
      <c r="G60" s="2177"/>
      <c r="H60" s="2177"/>
      <c r="I60" s="2178"/>
      <c r="J60" s="2179"/>
      <c r="K60" s="1995"/>
      <c r="L60" s="1995"/>
      <c r="M60" s="1995"/>
      <c r="N60" s="1995"/>
      <c r="O60" s="1995"/>
      <c r="P60" s="1995"/>
      <c r="Q60" s="1995"/>
      <c r="R60" s="1995"/>
      <c r="S60" s="1995"/>
      <c r="T60" s="1995"/>
      <c r="U60" s="1995"/>
      <c r="V60" s="1995"/>
      <c r="W60" s="1995"/>
      <c r="X60" s="1995"/>
      <c r="Y60" s="1995"/>
      <c r="Z60" s="1995"/>
      <c r="AA60" s="1995"/>
      <c r="AB60" s="1995"/>
      <c r="AC60" s="1995"/>
      <c r="AD60" s="1995"/>
      <c r="AE60" s="1995"/>
      <c r="AF60" s="1995"/>
      <c r="AG60" s="1995"/>
      <c r="AH60" s="1995"/>
      <c r="AI60" s="1995"/>
      <c r="AJ60" s="1995"/>
      <c r="AK60" s="1995"/>
      <c r="AL60" s="1995"/>
      <c r="AM60" s="1995"/>
      <c r="AN60" s="1995"/>
      <c r="AO60" s="1995"/>
      <c r="AP60" s="1995"/>
      <c r="AQ60" s="1995"/>
      <c r="AR60" s="1995"/>
      <c r="AS60" s="1995"/>
      <c r="AT60" s="1995"/>
      <c r="AU60" s="1995"/>
      <c r="AV60" s="1995"/>
      <c r="AW60" s="1996"/>
      <c r="AX60" s="1208"/>
      <c r="AY60" s="1208"/>
      <c r="AZ60" s="1208"/>
      <c r="BA60" s="1208"/>
      <c r="BB60" s="1208"/>
      <c r="BC60" s="1208"/>
      <c r="BD60" s="1208"/>
      <c r="BE60" s="1215"/>
    </row>
    <row r="61" spans="1:77" ht="15.75" customHeight="1">
      <c r="A61" s="1208"/>
      <c r="B61" s="2176" t="str">
        <f>IF(B53="", "", B53)</f>
        <v>Services Company 2</v>
      </c>
      <c r="C61" s="2177"/>
      <c r="D61" s="2177"/>
      <c r="E61" s="2177"/>
      <c r="F61" s="2177"/>
      <c r="G61" s="2177"/>
      <c r="H61" s="2177"/>
      <c r="I61" s="2178"/>
      <c r="J61" s="2179"/>
      <c r="K61" s="1995"/>
      <c r="L61" s="1995"/>
      <c r="M61" s="1995"/>
      <c r="N61" s="1995"/>
      <c r="O61" s="1995"/>
      <c r="P61" s="1995"/>
      <c r="Q61" s="1995"/>
      <c r="R61" s="1995"/>
      <c r="S61" s="1995"/>
      <c r="T61" s="1995"/>
      <c r="U61" s="1995"/>
      <c r="V61" s="1995"/>
      <c r="W61" s="1995"/>
      <c r="X61" s="1995"/>
      <c r="Y61" s="1995"/>
      <c r="Z61" s="1995"/>
      <c r="AA61" s="1995"/>
      <c r="AB61" s="1995"/>
      <c r="AC61" s="1995"/>
      <c r="AD61" s="1995"/>
      <c r="AE61" s="1995"/>
      <c r="AF61" s="1995"/>
      <c r="AG61" s="1995"/>
      <c r="AH61" s="1995"/>
      <c r="AI61" s="1995"/>
      <c r="AJ61" s="1995"/>
      <c r="AK61" s="1995"/>
      <c r="AL61" s="1995"/>
      <c r="AM61" s="1995"/>
      <c r="AN61" s="1995"/>
      <c r="AO61" s="1995"/>
      <c r="AP61" s="1995"/>
      <c r="AQ61" s="1995"/>
      <c r="AR61" s="1995"/>
      <c r="AS61" s="1995"/>
      <c r="AT61" s="1995"/>
      <c r="AU61" s="1995"/>
      <c r="AV61" s="1995"/>
      <c r="AW61" s="1996"/>
      <c r="AX61" s="1208"/>
      <c r="AY61" s="1208"/>
      <c r="AZ61" s="1208"/>
      <c r="BA61" s="1208"/>
      <c r="BB61" s="1208"/>
      <c r="BC61" s="1208"/>
      <c r="BD61" s="1208"/>
      <c r="BE61" s="1215"/>
    </row>
    <row r="62" spans="1:77" ht="15.75" customHeight="1">
      <c r="A62" s="1208"/>
      <c r="B62" s="2176" t="str">
        <f>IF(B54="", "", B54)</f>
        <v/>
      </c>
      <c r="C62" s="2177"/>
      <c r="D62" s="2177"/>
      <c r="E62" s="2177"/>
      <c r="F62" s="2177"/>
      <c r="G62" s="2177"/>
      <c r="H62" s="2177"/>
      <c r="I62" s="2178"/>
      <c r="J62" s="2179"/>
      <c r="K62" s="1995"/>
      <c r="L62" s="1995"/>
      <c r="M62" s="1995"/>
      <c r="N62" s="1995"/>
      <c r="O62" s="1995"/>
      <c r="P62" s="1995"/>
      <c r="Q62" s="1995"/>
      <c r="R62" s="1995"/>
      <c r="S62" s="1995"/>
      <c r="T62" s="1995"/>
      <c r="U62" s="1995"/>
      <c r="V62" s="1995"/>
      <c r="W62" s="1995"/>
      <c r="X62" s="1995"/>
      <c r="Y62" s="1995"/>
      <c r="Z62" s="1995"/>
      <c r="AA62" s="1995"/>
      <c r="AB62" s="1995"/>
      <c r="AC62" s="1995"/>
      <c r="AD62" s="1995"/>
      <c r="AE62" s="1995"/>
      <c r="AF62" s="1995"/>
      <c r="AG62" s="1995"/>
      <c r="AH62" s="1995"/>
      <c r="AI62" s="1995"/>
      <c r="AJ62" s="1995"/>
      <c r="AK62" s="1995"/>
      <c r="AL62" s="1995"/>
      <c r="AM62" s="1995"/>
      <c r="AN62" s="1995"/>
      <c r="AO62" s="1995"/>
      <c r="AP62" s="1995"/>
      <c r="AQ62" s="1995"/>
      <c r="AR62" s="1995"/>
      <c r="AS62" s="1995"/>
      <c r="AT62" s="1995"/>
      <c r="AU62" s="1995"/>
      <c r="AV62" s="1995"/>
      <c r="AW62" s="1996"/>
      <c r="AX62" s="1208"/>
      <c r="AY62" s="1208"/>
      <c r="AZ62" s="1208"/>
      <c r="BA62" s="1208"/>
      <c r="BB62" s="1208"/>
      <c r="BC62" s="1208"/>
      <c r="BD62" s="1208"/>
      <c r="BE62" s="1215"/>
    </row>
    <row r="63" spans="1:77" ht="15.75" customHeight="1">
      <c r="A63" s="1208"/>
      <c r="B63" s="2176" t="str">
        <f>IF(B55="", "", B55)</f>
        <v/>
      </c>
      <c r="C63" s="2177"/>
      <c r="D63" s="2177"/>
      <c r="E63" s="2177"/>
      <c r="F63" s="2177"/>
      <c r="G63" s="2177"/>
      <c r="H63" s="2177"/>
      <c r="I63" s="2178"/>
      <c r="J63" s="2179"/>
      <c r="K63" s="1995"/>
      <c r="L63" s="1995"/>
      <c r="M63" s="1995"/>
      <c r="N63" s="1995"/>
      <c r="O63" s="1995"/>
      <c r="P63" s="1995"/>
      <c r="Q63" s="1995"/>
      <c r="R63" s="1995"/>
      <c r="S63" s="1995"/>
      <c r="T63" s="1995"/>
      <c r="U63" s="1995"/>
      <c r="V63" s="1995"/>
      <c r="W63" s="1995"/>
      <c r="X63" s="1995"/>
      <c r="Y63" s="1995"/>
      <c r="Z63" s="1995"/>
      <c r="AA63" s="1995"/>
      <c r="AB63" s="1995"/>
      <c r="AC63" s="1995"/>
      <c r="AD63" s="1995"/>
      <c r="AE63" s="1995"/>
      <c r="AF63" s="1995"/>
      <c r="AG63" s="1995"/>
      <c r="AH63" s="1995"/>
      <c r="AI63" s="1995"/>
      <c r="AJ63" s="1995"/>
      <c r="AK63" s="1995"/>
      <c r="AL63" s="1995"/>
      <c r="AM63" s="1995"/>
      <c r="AN63" s="1995"/>
      <c r="AO63" s="1995"/>
      <c r="AP63" s="1995"/>
      <c r="AQ63" s="1995"/>
      <c r="AR63" s="1995"/>
      <c r="AS63" s="1995"/>
      <c r="AT63" s="1995"/>
      <c r="AU63" s="1995"/>
      <c r="AV63" s="1995"/>
      <c r="AW63" s="1996"/>
      <c r="AX63" s="1208"/>
      <c r="AY63" s="1208"/>
      <c r="AZ63" s="1208"/>
      <c r="BA63" s="1208"/>
      <c r="BB63" s="1208"/>
      <c r="BC63" s="1208"/>
      <c r="BD63" s="1208"/>
      <c r="BE63" s="1215"/>
    </row>
    <row r="64" spans="1:77" ht="15.75" customHeight="1" thickBot="1">
      <c r="A64" s="1208"/>
      <c r="B64" s="2180" t="str">
        <f>IF(B56="", "", B56)</f>
        <v/>
      </c>
      <c r="C64" s="2181"/>
      <c r="D64" s="2181"/>
      <c r="E64" s="2181"/>
      <c r="F64" s="2181"/>
      <c r="G64" s="2181"/>
      <c r="H64" s="2181"/>
      <c r="I64" s="2182"/>
      <c r="J64" s="2183"/>
      <c r="K64" s="2166"/>
      <c r="L64" s="2166"/>
      <c r="M64" s="2166"/>
      <c r="N64" s="2166"/>
      <c r="O64" s="2166"/>
      <c r="P64" s="2166"/>
      <c r="Q64" s="2166"/>
      <c r="R64" s="2166"/>
      <c r="S64" s="2166"/>
      <c r="T64" s="2166"/>
      <c r="U64" s="2166"/>
      <c r="V64" s="2166"/>
      <c r="W64" s="2166"/>
      <c r="X64" s="2166"/>
      <c r="Y64" s="2166"/>
      <c r="Z64" s="2166"/>
      <c r="AA64" s="2166"/>
      <c r="AB64" s="2166"/>
      <c r="AC64" s="2166"/>
      <c r="AD64" s="2166"/>
      <c r="AE64" s="2166"/>
      <c r="AF64" s="2166"/>
      <c r="AG64" s="2166"/>
      <c r="AH64" s="2166"/>
      <c r="AI64" s="2166"/>
      <c r="AJ64" s="2166"/>
      <c r="AK64" s="2166"/>
      <c r="AL64" s="2166"/>
      <c r="AM64" s="2166"/>
      <c r="AN64" s="2166"/>
      <c r="AO64" s="2166"/>
      <c r="AP64" s="2166"/>
      <c r="AQ64" s="2166"/>
      <c r="AR64" s="2166"/>
      <c r="AS64" s="2166"/>
      <c r="AT64" s="2166"/>
      <c r="AU64" s="2166"/>
      <c r="AV64" s="2166"/>
      <c r="AW64" s="2167"/>
      <c r="AX64" s="1208"/>
      <c r="AY64" s="1208"/>
      <c r="AZ64" s="1208"/>
      <c r="BA64" s="1208"/>
      <c r="BB64" s="1208"/>
      <c r="BC64" s="1208"/>
      <c r="BD64" s="1208"/>
      <c r="BE64" s="1215"/>
    </row>
    <row r="65" spans="1:94" ht="15.75" customHeight="1">
      <c r="A65" s="1208"/>
      <c r="B65" s="1208"/>
      <c r="C65" s="1208"/>
      <c r="D65" s="1208"/>
      <c r="E65" s="1208"/>
      <c r="F65" s="1208"/>
      <c r="G65" s="1208"/>
      <c r="H65" s="1208"/>
      <c r="I65" s="1208"/>
      <c r="J65" s="1208"/>
      <c r="K65" s="1208"/>
      <c r="L65" s="1208"/>
      <c r="M65" s="1208"/>
      <c r="N65" s="1208"/>
      <c r="O65" s="1208"/>
      <c r="P65" s="1208"/>
      <c r="Q65" s="1208"/>
      <c r="R65" s="1208"/>
      <c r="S65" s="1208"/>
      <c r="T65" s="1208"/>
      <c r="U65" s="1208"/>
      <c r="V65" s="1208"/>
      <c r="W65" s="1208"/>
      <c r="X65" s="1208"/>
      <c r="Y65" s="1208"/>
      <c r="Z65" s="1208"/>
      <c r="AA65" s="1208"/>
      <c r="AB65" s="1208"/>
      <c r="AC65" s="1208"/>
      <c r="AD65" s="1208"/>
      <c r="AE65" s="1208"/>
      <c r="AF65" s="1208"/>
      <c r="AG65" s="1208"/>
      <c r="AH65" s="1208"/>
      <c r="AI65" s="1208"/>
      <c r="AJ65" s="1208"/>
      <c r="AK65" s="1208"/>
      <c r="AL65" s="1208"/>
      <c r="AM65" s="1208"/>
      <c r="AN65" s="1208"/>
      <c r="AO65" s="1208"/>
      <c r="AP65" s="1208"/>
      <c r="AQ65" s="1208"/>
      <c r="AR65" s="1208"/>
      <c r="AS65" s="1208"/>
      <c r="AT65" s="1208"/>
      <c r="AU65" s="1208"/>
      <c r="AV65" s="1208"/>
      <c r="AW65" s="1208"/>
      <c r="AX65" s="1208"/>
      <c r="AY65" s="1208"/>
      <c r="AZ65" s="1208"/>
      <c r="BA65" s="1208"/>
      <c r="BB65" s="1208"/>
      <c r="BC65" s="1208"/>
      <c r="BD65" s="1208"/>
      <c r="BE65" s="1215"/>
    </row>
    <row r="66" spans="1:94" ht="15.75" customHeight="1">
      <c r="A66" s="1208"/>
      <c r="B66" s="1219" t="s">
        <v>2332</v>
      </c>
      <c r="C66" s="1219"/>
      <c r="D66" s="1219"/>
      <c r="E66" s="1219"/>
      <c r="F66" s="1219"/>
      <c r="G66" s="1219"/>
      <c r="H66" s="1219"/>
      <c r="I66" s="1219"/>
      <c r="J66" s="1219"/>
      <c r="K66" s="1219"/>
      <c r="L66" s="1208"/>
      <c r="M66" s="1208"/>
      <c r="N66" s="1208"/>
      <c r="O66" s="1208"/>
      <c r="P66" s="1208"/>
      <c r="Q66" s="1208"/>
      <c r="R66" s="1208"/>
      <c r="S66" s="1208"/>
      <c r="T66" s="1208"/>
      <c r="U66" s="1208"/>
      <c r="V66" s="1208"/>
      <c r="W66" s="1208"/>
      <c r="X66" s="1208"/>
      <c r="Y66" s="1208"/>
      <c r="Z66" s="1208"/>
      <c r="AA66" s="1208"/>
      <c r="AB66" s="1208"/>
      <c r="AC66" s="1208"/>
      <c r="AD66" s="1208"/>
      <c r="AE66" s="1208"/>
      <c r="AF66" s="1208"/>
      <c r="AG66" s="1208"/>
      <c r="AH66" s="1208"/>
      <c r="AI66" s="1208"/>
      <c r="AJ66" s="1208"/>
      <c r="AK66" s="1208"/>
      <c r="AL66" s="1208"/>
      <c r="AM66" s="1208"/>
      <c r="AN66" s="1208"/>
      <c r="AO66" s="1208"/>
      <c r="AP66" s="1208"/>
      <c r="AQ66" s="1208"/>
      <c r="AR66" s="1208"/>
      <c r="AS66" s="1208"/>
      <c r="AT66" s="1208"/>
      <c r="AU66" s="1208"/>
      <c r="AV66" s="1208"/>
      <c r="AW66" s="1208"/>
      <c r="AX66" s="1208"/>
      <c r="AY66" s="1208"/>
      <c r="AZ66" s="1208"/>
      <c r="BA66" s="1208"/>
      <c r="BB66" s="1208"/>
      <c r="BC66" s="1208"/>
      <c r="BD66" s="1208"/>
      <c r="BE66" s="1215"/>
    </row>
    <row r="67" spans="1:94" ht="15.75" customHeight="1" thickBot="1">
      <c r="A67" s="1208"/>
      <c r="B67" s="1208"/>
      <c r="C67" s="1208"/>
      <c r="D67" s="1208"/>
      <c r="E67" s="1208"/>
      <c r="F67" s="1208"/>
      <c r="G67" s="1208"/>
      <c r="H67" s="1208"/>
      <c r="I67" s="1208"/>
      <c r="J67" s="1208"/>
      <c r="K67" s="1208"/>
      <c r="L67" s="1208"/>
      <c r="M67" s="1208"/>
      <c r="N67" s="1208"/>
      <c r="O67" s="1208"/>
      <c r="P67" s="1208"/>
      <c r="Q67" s="1208"/>
      <c r="R67" s="1208"/>
      <c r="S67" s="1208"/>
      <c r="T67" s="1208"/>
      <c r="U67" s="1208"/>
      <c r="V67" s="1208"/>
      <c r="W67" s="1208"/>
      <c r="X67" s="1208"/>
      <c r="Y67" s="1208"/>
      <c r="Z67" s="1208"/>
      <c r="AA67" s="1208"/>
      <c r="AB67" s="1208"/>
      <c r="AC67" s="1208"/>
      <c r="AD67" s="1208"/>
      <c r="AE67" s="1208"/>
      <c r="AF67" s="1208"/>
      <c r="AG67" s="1208"/>
      <c r="AH67" s="1208"/>
      <c r="AI67" s="1208"/>
      <c r="AJ67" s="1208"/>
      <c r="AK67" s="1208"/>
      <c r="AL67" s="1208"/>
      <c r="AM67" s="1208"/>
      <c r="AN67" s="1208"/>
      <c r="AO67" s="1208"/>
      <c r="AP67" s="1208"/>
      <c r="AQ67" s="1208"/>
      <c r="AR67" s="1208"/>
      <c r="AS67" s="1208"/>
      <c r="AT67" s="1208"/>
      <c r="AU67" s="1208"/>
      <c r="AV67" s="1208"/>
      <c r="AW67" s="1208"/>
      <c r="AX67" s="1208"/>
      <c r="AY67" s="1208"/>
      <c r="AZ67" s="1208"/>
      <c r="BA67" s="1208"/>
      <c r="BB67" s="1208"/>
      <c r="BC67" s="1208"/>
      <c r="BD67" s="1208"/>
      <c r="BE67" s="1215"/>
    </row>
    <row r="68" spans="1:94" ht="15.75" customHeight="1" thickBot="1">
      <c r="A68" s="1208"/>
      <c r="B68" s="2106" t="s">
        <v>2331</v>
      </c>
      <c r="C68" s="2107"/>
      <c r="D68" s="2107"/>
      <c r="E68" s="2107"/>
      <c r="F68" s="2107"/>
      <c r="G68" s="2107"/>
      <c r="H68" s="2107"/>
      <c r="I68" s="2107"/>
      <c r="J68" s="2107"/>
      <c r="K68" s="2107"/>
      <c r="L68" s="2107"/>
      <c r="M68" s="2107"/>
      <c r="N68" s="2107"/>
      <c r="O68" s="2107"/>
      <c r="P68" s="2107"/>
      <c r="Q68" s="2107"/>
      <c r="R68" s="2107"/>
      <c r="S68" s="2107"/>
      <c r="T68" s="2107"/>
      <c r="U68" s="2107"/>
      <c r="V68" s="2107"/>
      <c r="W68" s="2107"/>
      <c r="X68" s="2107"/>
      <c r="Y68" s="2107"/>
      <c r="Z68" s="2107"/>
      <c r="AA68" s="2108"/>
      <c r="AB68" s="1208"/>
      <c r="AC68" s="2029" t="s">
        <v>2330</v>
      </c>
      <c r="AD68" s="2030"/>
      <c r="AE68" s="2030"/>
      <c r="AF68" s="2030"/>
      <c r="AG68" s="2030"/>
      <c r="AH68" s="2030"/>
      <c r="AI68" s="2030"/>
      <c r="AJ68" s="2030"/>
      <c r="AK68" s="2030"/>
      <c r="AL68" s="2030"/>
      <c r="AM68" s="2030"/>
      <c r="AN68" s="2030"/>
      <c r="AO68" s="2030"/>
      <c r="AP68" s="2030"/>
      <c r="AQ68" s="2030"/>
      <c r="AR68" s="2030"/>
      <c r="AS68" s="2030"/>
      <c r="AT68" s="2030"/>
      <c r="AU68" s="2030"/>
      <c r="AV68" s="2168" t="s">
        <v>669</v>
      </c>
      <c r="AW68" s="2086"/>
      <c r="AX68" s="2086"/>
      <c r="AY68" s="2086"/>
      <c r="AZ68" s="2086"/>
      <c r="BA68" s="2086"/>
      <c r="BB68" s="2086"/>
      <c r="BC68" s="2087"/>
      <c r="BD68" s="1208"/>
      <c r="BE68" s="1215"/>
      <c r="BM68" s="1221" t="s">
        <v>2329</v>
      </c>
    </row>
    <row r="69" spans="1:94" ht="15.75" customHeight="1" thickTop="1" thickBot="1">
      <c r="A69" s="1208"/>
      <c r="B69" s="2169" t="s">
        <v>2328</v>
      </c>
      <c r="C69" s="2170"/>
      <c r="D69" s="2170"/>
      <c r="E69" s="2170"/>
      <c r="F69" s="2170"/>
      <c r="G69" s="2170"/>
      <c r="H69" s="2170"/>
      <c r="I69" s="2170"/>
      <c r="J69" s="2170"/>
      <c r="K69" s="2170"/>
      <c r="L69" s="2170"/>
      <c r="M69" s="2170"/>
      <c r="N69" s="2170"/>
      <c r="O69" s="2171" t="s">
        <v>2327</v>
      </c>
      <c r="P69" s="2172"/>
      <c r="Q69" s="2172"/>
      <c r="R69" s="2172"/>
      <c r="S69" s="2172"/>
      <c r="T69" s="2172"/>
      <c r="U69" s="2172"/>
      <c r="V69" s="2172"/>
      <c r="W69" s="2172"/>
      <c r="X69" s="2172"/>
      <c r="Y69" s="2172"/>
      <c r="Z69" s="2172"/>
      <c r="AA69" s="2173"/>
      <c r="AB69" s="1208"/>
      <c r="AC69" s="2174" t="s">
        <v>2326</v>
      </c>
      <c r="AD69" s="2175"/>
      <c r="AE69" s="2175"/>
      <c r="AF69" s="2175"/>
      <c r="AG69" s="2175"/>
      <c r="AH69" s="2175"/>
      <c r="AI69" s="2175"/>
      <c r="AJ69" s="2175"/>
      <c r="AK69" s="2175"/>
      <c r="AL69" s="2175"/>
      <c r="AM69" s="2175"/>
      <c r="AN69" s="2175"/>
      <c r="AO69" s="2175"/>
      <c r="AP69" s="2175"/>
      <c r="AQ69" s="2175"/>
      <c r="AR69" s="2175"/>
      <c r="AS69" s="2175"/>
      <c r="AT69" s="2175"/>
      <c r="AU69" s="2175"/>
      <c r="AV69" s="2168" t="s">
        <v>669</v>
      </c>
      <c r="AW69" s="2086"/>
      <c r="AX69" s="2086"/>
      <c r="AY69" s="2086"/>
      <c r="AZ69" s="2086"/>
      <c r="BA69" s="2086"/>
      <c r="BB69" s="2086"/>
      <c r="BC69" s="2087"/>
      <c r="BD69" s="1208"/>
      <c r="BE69" s="1215"/>
      <c r="BM69" s="1222" t="s">
        <v>545</v>
      </c>
    </row>
    <row r="70" spans="1:94" ht="15.75" customHeight="1">
      <c r="A70" s="1208"/>
      <c r="B70" s="2151" t="s">
        <v>2325</v>
      </c>
      <c r="C70" s="2152"/>
      <c r="D70" s="2152"/>
      <c r="E70" s="2152"/>
      <c r="F70" s="2152"/>
      <c r="G70" s="2152"/>
      <c r="H70" s="2152"/>
      <c r="I70" s="2152"/>
      <c r="J70" s="2152"/>
      <c r="K70" s="2152"/>
      <c r="L70" s="2152"/>
      <c r="M70" s="2152"/>
      <c r="N70" s="2152"/>
      <c r="O70" s="2037">
        <v>0</v>
      </c>
      <c r="P70" s="2037"/>
      <c r="Q70" s="2037"/>
      <c r="R70" s="2037"/>
      <c r="S70" s="2037"/>
      <c r="T70" s="2037"/>
      <c r="U70" s="2037"/>
      <c r="V70" s="2037"/>
      <c r="W70" s="2037"/>
      <c r="X70" s="2037"/>
      <c r="Y70" s="2037"/>
      <c r="Z70" s="2037"/>
      <c r="AA70" s="2153"/>
      <c r="AB70" s="1208"/>
      <c r="AC70" s="2075" t="s">
        <v>2324</v>
      </c>
      <c r="AD70" s="2031"/>
      <c r="AE70" s="2031"/>
      <c r="AF70" s="2162"/>
      <c r="AG70" s="2162"/>
      <c r="AH70" s="2162"/>
      <c r="AI70" s="2162"/>
      <c r="AJ70" s="2162"/>
      <c r="AK70" s="2162"/>
      <c r="AL70" s="2162"/>
      <c r="AM70" s="2162"/>
      <c r="AN70" s="2162"/>
      <c r="AO70" s="2162"/>
      <c r="AP70" s="2162"/>
      <c r="AQ70" s="2162"/>
      <c r="AR70" s="2162"/>
      <c r="AS70" s="2162"/>
      <c r="AT70" s="2162"/>
      <c r="AU70" s="2163"/>
      <c r="AV70" s="1208"/>
      <c r="AW70" s="1208"/>
      <c r="AX70" s="1208"/>
      <c r="AY70" s="1208"/>
      <c r="AZ70" s="1208"/>
      <c r="BA70" s="1208"/>
      <c r="BB70" s="1208"/>
      <c r="BC70" s="1208"/>
      <c r="BD70" s="1208"/>
      <c r="BE70" s="1215"/>
      <c r="BM70" s="1223" t="s">
        <v>669</v>
      </c>
    </row>
    <row r="71" spans="1:94" ht="15.75" customHeight="1" thickBot="1">
      <c r="A71" s="1208"/>
      <c r="B71" s="2151" t="s">
        <v>2323</v>
      </c>
      <c r="C71" s="2152"/>
      <c r="D71" s="2152"/>
      <c r="E71" s="2152"/>
      <c r="F71" s="2152"/>
      <c r="G71" s="2152"/>
      <c r="H71" s="2152"/>
      <c r="I71" s="2152"/>
      <c r="J71" s="2152"/>
      <c r="K71" s="2152"/>
      <c r="L71" s="2152"/>
      <c r="M71" s="2152"/>
      <c r="N71" s="2152"/>
      <c r="O71" s="2037">
        <v>0</v>
      </c>
      <c r="P71" s="2037"/>
      <c r="Q71" s="2037"/>
      <c r="R71" s="2037"/>
      <c r="S71" s="2037"/>
      <c r="T71" s="2037"/>
      <c r="U71" s="2037"/>
      <c r="V71" s="2037"/>
      <c r="W71" s="2037"/>
      <c r="X71" s="2037"/>
      <c r="Y71" s="2037"/>
      <c r="Z71" s="2037"/>
      <c r="AA71" s="2153"/>
      <c r="AB71" s="1208"/>
      <c r="AC71" s="2164" t="s">
        <v>2322</v>
      </c>
      <c r="AD71" s="2165"/>
      <c r="AE71" s="2165"/>
      <c r="AF71" s="2166"/>
      <c r="AG71" s="2166"/>
      <c r="AH71" s="2166"/>
      <c r="AI71" s="2166"/>
      <c r="AJ71" s="2166"/>
      <c r="AK71" s="2166"/>
      <c r="AL71" s="2166"/>
      <c r="AM71" s="2166"/>
      <c r="AN71" s="2166"/>
      <c r="AO71" s="2166"/>
      <c r="AP71" s="2166"/>
      <c r="AQ71" s="2166"/>
      <c r="AR71" s="2166"/>
      <c r="AS71" s="2166"/>
      <c r="AT71" s="2166"/>
      <c r="AU71" s="2167"/>
      <c r="AV71" s="1208"/>
      <c r="AW71" s="1208"/>
      <c r="AX71" s="1208"/>
      <c r="AY71" s="1208"/>
      <c r="AZ71" s="1208"/>
      <c r="BA71" s="1208"/>
      <c r="BB71" s="1208"/>
      <c r="BC71" s="1208"/>
      <c r="BD71" s="1208"/>
      <c r="BE71" s="1215"/>
      <c r="BM71" s="1204" t="s">
        <v>2321</v>
      </c>
    </row>
    <row r="72" spans="1:94" ht="15.75" customHeight="1">
      <c r="A72" s="1208"/>
      <c r="B72" s="2151" t="s">
        <v>2320</v>
      </c>
      <c r="C72" s="2152"/>
      <c r="D72" s="2152"/>
      <c r="E72" s="2152"/>
      <c r="F72" s="2152"/>
      <c r="G72" s="2152"/>
      <c r="H72" s="2152"/>
      <c r="I72" s="2152"/>
      <c r="J72" s="2152"/>
      <c r="K72" s="2152"/>
      <c r="L72" s="2152"/>
      <c r="M72" s="2152"/>
      <c r="N72" s="2152"/>
      <c r="O72" s="2037">
        <v>0</v>
      </c>
      <c r="P72" s="2037"/>
      <c r="Q72" s="2037"/>
      <c r="R72" s="2037"/>
      <c r="S72" s="2037"/>
      <c r="T72" s="2037"/>
      <c r="U72" s="2037"/>
      <c r="V72" s="2037"/>
      <c r="W72" s="2037"/>
      <c r="X72" s="2037"/>
      <c r="Y72" s="2037"/>
      <c r="Z72" s="2037"/>
      <c r="AA72" s="2153"/>
      <c r="AB72" s="1208"/>
      <c r="AC72" s="2154" t="s">
        <v>2319</v>
      </c>
      <c r="AD72" s="2155"/>
      <c r="AE72" s="2155"/>
      <c r="AF72" s="2155"/>
      <c r="AG72" s="2155"/>
      <c r="AH72" s="2155"/>
      <c r="AI72" s="2155"/>
      <c r="AJ72" s="2155"/>
      <c r="AK72" s="2155"/>
      <c r="AL72" s="2155"/>
      <c r="AM72" s="2155"/>
      <c r="AN72" s="2155"/>
      <c r="AO72" s="2155"/>
      <c r="AP72" s="2155"/>
      <c r="AQ72" s="2155"/>
      <c r="AR72" s="2155"/>
      <c r="AS72" s="2155"/>
      <c r="AT72" s="2155"/>
      <c r="AU72" s="2155"/>
      <c r="AV72" s="2031"/>
      <c r="AW72" s="2031"/>
      <c r="AX72" s="2031"/>
      <c r="AY72" s="2031"/>
      <c r="AZ72" s="2031"/>
      <c r="BA72" s="2031"/>
      <c r="BB72" s="2031"/>
      <c r="BC72" s="2032"/>
      <c r="BD72" s="1208"/>
      <c r="BE72" s="1215"/>
    </row>
    <row r="73" spans="1:94" ht="15.75" customHeight="1">
      <c r="A73" s="1208"/>
      <c r="B73" s="2156" t="s">
        <v>2318</v>
      </c>
      <c r="C73" s="2157"/>
      <c r="D73" s="2157"/>
      <c r="E73" s="2157"/>
      <c r="F73" s="2157"/>
      <c r="G73" s="2157"/>
      <c r="H73" s="2157"/>
      <c r="I73" s="2157"/>
      <c r="J73" s="2157"/>
      <c r="K73" s="2157"/>
      <c r="L73" s="2157"/>
      <c r="M73" s="2157"/>
      <c r="N73" s="2157"/>
      <c r="O73" s="2037">
        <v>0</v>
      </c>
      <c r="P73" s="2037"/>
      <c r="Q73" s="2037"/>
      <c r="R73" s="2037"/>
      <c r="S73" s="2037"/>
      <c r="T73" s="2037"/>
      <c r="U73" s="2037"/>
      <c r="V73" s="2037"/>
      <c r="W73" s="2037"/>
      <c r="X73" s="2037"/>
      <c r="Y73" s="2037"/>
      <c r="Z73" s="2037"/>
      <c r="AA73" s="2153"/>
      <c r="AB73" s="1208"/>
      <c r="AC73" s="2046" t="s">
        <v>2271</v>
      </c>
      <c r="AD73" s="2047"/>
      <c r="AE73" s="2047"/>
      <c r="AF73" s="2047"/>
      <c r="AG73" s="2047"/>
      <c r="AH73" s="2047"/>
      <c r="AI73" s="2047"/>
      <c r="AJ73" s="2047"/>
      <c r="AK73" s="2047"/>
      <c r="AL73" s="2047"/>
      <c r="AM73" s="2047"/>
      <c r="AN73" s="2047"/>
      <c r="AO73" s="2047"/>
      <c r="AP73" s="2047"/>
      <c r="AQ73" s="2047"/>
      <c r="AR73" s="2047"/>
      <c r="AS73" s="2047"/>
      <c r="AT73" s="2047"/>
      <c r="AU73" s="2047"/>
      <c r="AV73" s="2047"/>
      <c r="AW73" s="2047"/>
      <c r="AX73" s="2047"/>
      <c r="AY73" s="2047"/>
      <c r="AZ73" s="2047"/>
      <c r="BA73" s="2047"/>
      <c r="BB73" s="2047"/>
      <c r="BC73" s="2048"/>
      <c r="BD73" s="1208"/>
      <c r="BE73" s="1215"/>
      <c r="CK73" s="1206"/>
      <c r="CL73" s="1206"/>
      <c r="CM73" s="1206"/>
      <c r="CN73" s="1206"/>
      <c r="CO73" s="1206"/>
      <c r="CP73" s="1206"/>
    </row>
    <row r="74" spans="1:94" ht="15.75" customHeight="1">
      <c r="A74" s="1208"/>
      <c r="B74" s="1991"/>
      <c r="C74" s="1992"/>
      <c r="D74" s="1992"/>
      <c r="E74" s="1992"/>
      <c r="F74" s="1992"/>
      <c r="G74" s="1992"/>
      <c r="H74" s="1992"/>
      <c r="I74" s="1992"/>
      <c r="J74" s="1992"/>
      <c r="K74" s="1992"/>
      <c r="L74" s="1992"/>
      <c r="M74" s="1992"/>
      <c r="N74" s="1992"/>
      <c r="O74" s="2037"/>
      <c r="P74" s="2037"/>
      <c r="Q74" s="2037"/>
      <c r="R74" s="2037"/>
      <c r="S74" s="2037"/>
      <c r="T74" s="2037"/>
      <c r="U74" s="2037"/>
      <c r="V74" s="2037"/>
      <c r="W74" s="2037"/>
      <c r="X74" s="2037"/>
      <c r="Y74" s="2037"/>
      <c r="Z74" s="2037"/>
      <c r="AA74" s="2153"/>
      <c r="AB74" s="1208"/>
      <c r="AC74" s="2046"/>
      <c r="AD74" s="2047"/>
      <c r="AE74" s="2047"/>
      <c r="AF74" s="2047"/>
      <c r="AG74" s="2047"/>
      <c r="AH74" s="2047"/>
      <c r="AI74" s="2047"/>
      <c r="AJ74" s="2047"/>
      <c r="AK74" s="2047"/>
      <c r="AL74" s="2047"/>
      <c r="AM74" s="2047"/>
      <c r="AN74" s="2047"/>
      <c r="AO74" s="2047"/>
      <c r="AP74" s="2047"/>
      <c r="AQ74" s="2047"/>
      <c r="AR74" s="2047"/>
      <c r="AS74" s="2047"/>
      <c r="AT74" s="2047"/>
      <c r="AU74" s="2047"/>
      <c r="AV74" s="2047"/>
      <c r="AW74" s="2047"/>
      <c r="AX74" s="2047"/>
      <c r="AY74" s="2047"/>
      <c r="AZ74" s="2047"/>
      <c r="BA74" s="2047"/>
      <c r="BB74" s="2047"/>
      <c r="BC74" s="2048"/>
      <c r="BD74" s="1208"/>
      <c r="BE74" s="1215"/>
      <c r="CK74" s="1206"/>
      <c r="CL74" s="1206"/>
      <c r="CM74" s="1206"/>
      <c r="CN74" s="1206"/>
      <c r="CO74" s="1206"/>
      <c r="CP74" s="1206"/>
    </row>
    <row r="75" spans="1:94" ht="15.75" customHeight="1" thickBot="1">
      <c r="A75" s="1208"/>
      <c r="B75" s="2158" t="s">
        <v>124</v>
      </c>
      <c r="C75" s="2159"/>
      <c r="D75" s="2159"/>
      <c r="E75" s="2159"/>
      <c r="F75" s="2159"/>
      <c r="G75" s="2159"/>
      <c r="H75" s="2159"/>
      <c r="I75" s="2159"/>
      <c r="J75" s="2159"/>
      <c r="K75" s="2159"/>
      <c r="L75" s="2159"/>
      <c r="M75" s="2159"/>
      <c r="N75" s="2159"/>
      <c r="O75" s="2160">
        <f>SUM(O70:AA74)</f>
        <v>0</v>
      </c>
      <c r="P75" s="2160"/>
      <c r="Q75" s="2160"/>
      <c r="R75" s="2160"/>
      <c r="S75" s="2160"/>
      <c r="T75" s="2160"/>
      <c r="U75" s="2160"/>
      <c r="V75" s="2160"/>
      <c r="W75" s="2160"/>
      <c r="X75" s="2160"/>
      <c r="Y75" s="2160"/>
      <c r="Z75" s="2160"/>
      <c r="AA75" s="2161"/>
      <c r="AB75" s="1208"/>
      <c r="AC75" s="2046"/>
      <c r="AD75" s="2047"/>
      <c r="AE75" s="2047"/>
      <c r="AF75" s="2047"/>
      <c r="AG75" s="2047"/>
      <c r="AH75" s="2047"/>
      <c r="AI75" s="2047"/>
      <c r="AJ75" s="2047"/>
      <c r="AK75" s="2047"/>
      <c r="AL75" s="2047"/>
      <c r="AM75" s="2047"/>
      <c r="AN75" s="2047"/>
      <c r="AO75" s="2047"/>
      <c r="AP75" s="2047"/>
      <c r="AQ75" s="2047"/>
      <c r="AR75" s="2047"/>
      <c r="AS75" s="2047"/>
      <c r="AT75" s="2047"/>
      <c r="AU75" s="2047"/>
      <c r="AV75" s="2047"/>
      <c r="AW75" s="2047"/>
      <c r="AX75" s="2047"/>
      <c r="AY75" s="2047"/>
      <c r="AZ75" s="2047"/>
      <c r="BA75" s="2047"/>
      <c r="BB75" s="2047"/>
      <c r="BC75" s="2048"/>
      <c r="BD75" s="1208"/>
      <c r="BE75" s="1215"/>
      <c r="CK75" s="1206"/>
      <c r="CL75" s="1206"/>
      <c r="CM75" s="1206"/>
      <c r="CN75" s="1206"/>
      <c r="CO75" s="1206"/>
      <c r="CP75" s="1206"/>
    </row>
    <row r="76" spans="1:94" ht="15.75" customHeight="1">
      <c r="A76" s="1208"/>
      <c r="B76" s="1208"/>
      <c r="C76" s="1208"/>
      <c r="D76" s="1208"/>
      <c r="E76" s="1208"/>
      <c r="F76" s="1208"/>
      <c r="G76" s="1208"/>
      <c r="H76" s="1208"/>
      <c r="I76" s="1208"/>
      <c r="J76" s="1208"/>
      <c r="K76" s="1208"/>
      <c r="L76" s="1208"/>
      <c r="M76" s="1208"/>
      <c r="N76" s="1208"/>
      <c r="O76" s="1208"/>
      <c r="P76" s="1208"/>
      <c r="Q76" s="1208"/>
      <c r="R76" s="1208"/>
      <c r="S76" s="1208"/>
      <c r="T76" s="1208"/>
      <c r="U76" s="1208"/>
      <c r="V76" s="1208"/>
      <c r="W76" s="1208"/>
      <c r="X76" s="1208"/>
      <c r="Y76" s="1208"/>
      <c r="Z76" s="1208"/>
      <c r="AA76" s="1208"/>
      <c r="AB76" s="1208"/>
      <c r="AC76" s="2046"/>
      <c r="AD76" s="2047"/>
      <c r="AE76" s="2047"/>
      <c r="AF76" s="2047"/>
      <c r="AG76" s="2047"/>
      <c r="AH76" s="2047"/>
      <c r="AI76" s="2047"/>
      <c r="AJ76" s="2047"/>
      <c r="AK76" s="2047"/>
      <c r="AL76" s="2047"/>
      <c r="AM76" s="2047"/>
      <c r="AN76" s="2047"/>
      <c r="AO76" s="2047"/>
      <c r="AP76" s="2047"/>
      <c r="AQ76" s="2047"/>
      <c r="AR76" s="2047"/>
      <c r="AS76" s="2047"/>
      <c r="AT76" s="2047"/>
      <c r="AU76" s="2047"/>
      <c r="AV76" s="2047"/>
      <c r="AW76" s="2047"/>
      <c r="AX76" s="2047"/>
      <c r="AY76" s="2047"/>
      <c r="AZ76" s="2047"/>
      <c r="BA76" s="2047"/>
      <c r="BB76" s="2047"/>
      <c r="BC76" s="2048"/>
      <c r="BD76" s="1208"/>
      <c r="BE76" s="1215"/>
      <c r="CK76" s="1206"/>
      <c r="CL76" s="1206"/>
      <c r="CM76" s="1206"/>
      <c r="CN76" s="1206"/>
      <c r="CO76" s="1206"/>
      <c r="CP76" s="1206"/>
    </row>
    <row r="77" spans="1:94" ht="15.75" customHeight="1" thickBot="1">
      <c r="A77" s="1208"/>
      <c r="B77" s="1208"/>
      <c r="C77" s="1208"/>
      <c r="D77" s="1208"/>
      <c r="E77" s="1208"/>
      <c r="F77" s="1208"/>
      <c r="G77" s="1208"/>
      <c r="H77" s="1208"/>
      <c r="I77" s="1208"/>
      <c r="J77" s="1208"/>
      <c r="K77" s="1208"/>
      <c r="L77" s="1208"/>
      <c r="M77" s="1208"/>
      <c r="N77" s="1208"/>
      <c r="O77" s="1208"/>
      <c r="P77" s="1208"/>
      <c r="Q77" s="1208"/>
      <c r="R77" s="1208"/>
      <c r="S77" s="1208"/>
      <c r="T77" s="1208"/>
      <c r="U77" s="1208"/>
      <c r="V77" s="1208"/>
      <c r="W77" s="1208"/>
      <c r="X77" s="1208"/>
      <c r="Y77" s="1208"/>
      <c r="Z77" s="1208"/>
      <c r="AA77" s="1208"/>
      <c r="AB77" s="1208"/>
      <c r="AC77" s="2049"/>
      <c r="AD77" s="2050"/>
      <c r="AE77" s="2050"/>
      <c r="AF77" s="2050"/>
      <c r="AG77" s="2050"/>
      <c r="AH77" s="2050"/>
      <c r="AI77" s="2050"/>
      <c r="AJ77" s="2050"/>
      <c r="AK77" s="2050"/>
      <c r="AL77" s="2050"/>
      <c r="AM77" s="2050"/>
      <c r="AN77" s="2050"/>
      <c r="AO77" s="2050"/>
      <c r="AP77" s="2050"/>
      <c r="AQ77" s="2050"/>
      <c r="AR77" s="2050"/>
      <c r="AS77" s="2050"/>
      <c r="AT77" s="2050"/>
      <c r="AU77" s="2050"/>
      <c r="AV77" s="2050"/>
      <c r="AW77" s="2050"/>
      <c r="AX77" s="2050"/>
      <c r="AY77" s="2050"/>
      <c r="AZ77" s="2050"/>
      <c r="BA77" s="2050"/>
      <c r="BB77" s="2050"/>
      <c r="BC77" s="2051"/>
      <c r="BD77" s="1208"/>
      <c r="BE77" s="1215"/>
      <c r="CK77" s="1206"/>
      <c r="CL77" s="1206"/>
      <c r="CM77" s="1206"/>
      <c r="CN77" s="1206"/>
      <c r="CO77" s="1206"/>
      <c r="CP77" s="1206"/>
    </row>
    <row r="78" spans="1:94" ht="15.75" customHeight="1" thickBot="1">
      <c r="A78" s="1208"/>
      <c r="B78" s="1224" t="s">
        <v>2317</v>
      </c>
      <c r="C78" s="1225"/>
      <c r="D78" s="1226"/>
      <c r="E78" s="1226"/>
      <c r="F78" s="1226"/>
      <c r="G78" s="1226"/>
      <c r="H78" s="1226"/>
      <c r="I78" s="1226"/>
      <c r="J78" s="1226"/>
      <c r="K78" s="1226"/>
      <c r="L78" s="1226"/>
      <c r="M78" s="1226"/>
      <c r="N78" s="1226"/>
      <c r="O78" s="1226"/>
      <c r="P78" s="1226"/>
      <c r="Q78" s="1226"/>
      <c r="R78" s="1226"/>
      <c r="S78" s="1226"/>
      <c r="T78" s="1227"/>
      <c r="U78" s="1208"/>
      <c r="V78" s="1208"/>
      <c r="W78" s="1208"/>
      <c r="X78" s="1208"/>
      <c r="Y78" s="1208"/>
      <c r="Z78" s="1208"/>
      <c r="AA78" s="1208"/>
      <c r="AB78" s="1208"/>
      <c r="AC78" s="1208"/>
      <c r="AD78" s="1208"/>
      <c r="AE78" s="1208"/>
      <c r="AF78" s="1208"/>
      <c r="AG78" s="1208"/>
      <c r="AH78" s="1208"/>
      <c r="AI78" s="1208"/>
      <c r="AJ78" s="1208"/>
      <c r="AK78" s="1208"/>
      <c r="AL78" s="1208"/>
      <c r="AM78" s="1208"/>
      <c r="AN78" s="1208"/>
      <c r="AO78" s="1208"/>
      <c r="AP78" s="1208"/>
      <c r="AQ78" s="1208"/>
      <c r="AR78" s="1208"/>
      <c r="AS78" s="1208"/>
      <c r="AT78" s="1208"/>
      <c r="AU78" s="1208"/>
      <c r="AV78" s="1208"/>
      <c r="AW78" s="1208"/>
      <c r="AX78" s="1208"/>
      <c r="AY78" s="1208"/>
      <c r="AZ78" s="1208"/>
      <c r="BA78" s="1208"/>
      <c r="BB78" s="1208"/>
      <c r="BC78" s="1208"/>
      <c r="BD78" s="1208"/>
      <c r="BE78" s="1215"/>
      <c r="CK78" s="1206"/>
      <c r="CL78" s="1206"/>
      <c r="CM78" s="1206"/>
      <c r="CN78" s="1206"/>
      <c r="CO78" s="1206"/>
      <c r="CP78" s="1206"/>
    </row>
    <row r="79" spans="1:94" ht="15.75" customHeight="1">
      <c r="A79" s="1208"/>
      <c r="B79" s="1224" t="s">
        <v>2224</v>
      </c>
      <c r="C79" s="1228"/>
      <c r="D79" s="1228"/>
      <c r="E79" s="1229"/>
      <c r="F79" s="2141"/>
      <c r="G79" s="2142"/>
      <c r="H79" s="2142"/>
      <c r="I79" s="2142"/>
      <c r="J79" s="2142"/>
      <c r="K79" s="2142"/>
      <c r="L79" s="2142"/>
      <c r="M79" s="2142"/>
      <c r="N79" s="2142"/>
      <c r="O79" s="2142"/>
      <c r="P79" s="2142"/>
      <c r="Q79" s="2142"/>
      <c r="R79" s="2142"/>
      <c r="S79" s="2142"/>
      <c r="T79" s="2143"/>
      <c r="U79" s="1208"/>
      <c r="V79" s="1208"/>
      <c r="W79" s="1208"/>
      <c r="X79" s="1208"/>
      <c r="Y79" s="1208"/>
      <c r="Z79" s="1208"/>
      <c r="AA79" s="1208"/>
      <c r="AB79" s="1208"/>
      <c r="AC79" s="1208"/>
      <c r="AD79" s="1208"/>
      <c r="AE79" s="1208"/>
      <c r="AF79" s="1208"/>
      <c r="AG79" s="1208"/>
      <c r="AH79" s="1208"/>
      <c r="AI79" s="1208"/>
      <c r="AJ79" s="1208"/>
      <c r="AK79" s="1208"/>
      <c r="AL79" s="1208"/>
      <c r="AM79" s="1208"/>
      <c r="AN79" s="1208"/>
      <c r="AO79" s="1208"/>
      <c r="AP79" s="1208"/>
      <c r="AQ79" s="1208"/>
      <c r="AR79" s="1208"/>
      <c r="AS79" s="1208"/>
      <c r="AT79" s="1208"/>
      <c r="AU79" s="1208"/>
      <c r="AV79" s="1208"/>
      <c r="AW79" s="1208"/>
      <c r="AX79" s="1208"/>
      <c r="AY79" s="1208"/>
      <c r="AZ79" s="1208"/>
      <c r="BA79" s="1208"/>
      <c r="BB79" s="1208"/>
      <c r="BC79" s="1208"/>
      <c r="BD79" s="1208"/>
      <c r="BE79" s="1215"/>
      <c r="CK79" s="1206"/>
      <c r="CL79" s="1206"/>
      <c r="CM79" s="1206"/>
      <c r="CN79" s="1206"/>
      <c r="CO79" s="1206"/>
      <c r="CP79" s="1206"/>
    </row>
    <row r="80" spans="1:94" ht="15.75" customHeight="1" thickBot="1">
      <c r="A80" s="1208"/>
      <c r="B80" s="1208"/>
      <c r="C80" s="1208"/>
      <c r="D80" s="1208"/>
      <c r="E80" s="1208"/>
      <c r="F80" s="1208"/>
      <c r="G80" s="1208"/>
      <c r="H80" s="1208"/>
      <c r="I80" s="1208"/>
      <c r="J80" s="1208"/>
      <c r="K80" s="1208"/>
      <c r="L80" s="1208"/>
      <c r="M80" s="1208"/>
      <c r="N80" s="1208"/>
      <c r="O80" s="1208"/>
      <c r="P80" s="1208"/>
      <c r="Q80" s="1208"/>
      <c r="R80" s="1208"/>
      <c r="S80" s="1208"/>
      <c r="T80" s="1208"/>
      <c r="U80" s="1208"/>
      <c r="V80" s="1208"/>
      <c r="W80" s="1208"/>
      <c r="X80" s="1208"/>
      <c r="Y80" s="1208"/>
      <c r="Z80" s="1208"/>
      <c r="AA80" s="1208"/>
      <c r="AB80" s="1208"/>
      <c r="AC80" s="1208"/>
      <c r="AD80" s="1208"/>
      <c r="AE80" s="1208"/>
      <c r="AF80" s="1208"/>
      <c r="AG80" s="1208"/>
      <c r="AH80" s="1208"/>
      <c r="AI80" s="1208"/>
      <c r="AJ80" s="1208"/>
      <c r="AK80" s="1208"/>
      <c r="AL80" s="1208"/>
      <c r="AM80" s="1208"/>
      <c r="AN80" s="1208"/>
      <c r="AO80" s="1208"/>
      <c r="AP80" s="1208"/>
      <c r="AQ80" s="1208"/>
      <c r="AR80" s="1208"/>
      <c r="AS80" s="1208"/>
      <c r="AT80" s="1208"/>
      <c r="AU80" s="1208"/>
      <c r="AV80" s="1208"/>
      <c r="AW80" s="1208"/>
      <c r="AX80" s="1208"/>
      <c r="AY80" s="1208"/>
      <c r="AZ80" s="1208"/>
      <c r="BA80" s="1208"/>
      <c r="BB80" s="1208"/>
      <c r="BC80" s="1208"/>
      <c r="BD80" s="1208"/>
      <c r="BE80" s="1215"/>
      <c r="CK80" s="1206"/>
      <c r="CL80" s="1206"/>
      <c r="CM80" s="1206"/>
      <c r="CN80" s="1206"/>
      <c r="CO80" s="1206"/>
      <c r="CP80" s="1206"/>
    </row>
    <row r="81" spans="1:94" ht="15.75" customHeight="1">
      <c r="A81" s="1208"/>
      <c r="B81" s="2144" t="s">
        <v>2316</v>
      </c>
      <c r="C81" s="2145"/>
      <c r="D81" s="2145"/>
      <c r="E81" s="2145"/>
      <c r="F81" s="2145"/>
      <c r="G81" s="2145"/>
      <c r="H81" s="2145"/>
      <c r="I81" s="2145"/>
      <c r="J81" s="2145"/>
      <c r="K81" s="2145"/>
      <c r="L81" s="2145"/>
      <c r="M81" s="2145"/>
      <c r="N81" s="2145"/>
      <c r="O81" s="2145"/>
      <c r="P81" s="2145"/>
      <c r="Q81" s="2145"/>
      <c r="R81" s="2145"/>
      <c r="S81" s="2145"/>
      <c r="T81" s="2145"/>
      <c r="U81" s="2145"/>
      <c r="V81" s="2145"/>
      <c r="W81" s="2145"/>
      <c r="X81" s="2145"/>
      <c r="Y81" s="2145"/>
      <c r="Z81" s="2145"/>
      <c r="AA81" s="2145"/>
      <c r="AB81" s="2145"/>
      <c r="AC81" s="2145"/>
      <c r="AD81" s="2145"/>
      <c r="AE81" s="2145"/>
      <c r="AF81" s="2145"/>
      <c r="AG81" s="2145"/>
      <c r="AH81" s="2146"/>
      <c r="AI81" s="1208"/>
      <c r="AJ81" s="2128" t="s">
        <v>2618</v>
      </c>
      <c r="AK81" s="2129"/>
      <c r="AL81" s="2129"/>
      <c r="AM81" s="2129"/>
      <c r="AN81" s="2129"/>
      <c r="AO81" s="2129"/>
      <c r="AP81" s="2129"/>
      <c r="AQ81" s="2129"/>
      <c r="AR81" s="2129"/>
      <c r="AS81" s="2129"/>
      <c r="AT81" s="2129"/>
      <c r="AU81" s="2129"/>
      <c r="AV81" s="2129"/>
      <c r="AW81" s="2129"/>
      <c r="AX81" s="2129"/>
      <c r="AY81" s="2147" t="s">
        <v>545</v>
      </c>
      <c r="AZ81" s="2147"/>
      <c r="BA81" s="2147"/>
      <c r="BB81" s="2148"/>
      <c r="BC81" s="1208"/>
      <c r="BD81" s="1208"/>
      <c r="BE81" s="1215"/>
      <c r="CK81" s="1206"/>
      <c r="CL81" s="1206"/>
      <c r="CM81" s="1206"/>
      <c r="CN81" s="1206"/>
      <c r="CO81" s="1206"/>
      <c r="CP81" s="1206"/>
    </row>
    <row r="82" spans="1:94" ht="15.75" customHeight="1">
      <c r="A82" s="1208"/>
      <c r="B82" s="2109"/>
      <c r="C82" s="2103"/>
      <c r="D82" s="2103"/>
      <c r="E82" s="2103"/>
      <c r="F82" s="2103"/>
      <c r="G82" s="2103"/>
      <c r="H82" s="2103"/>
      <c r="I82" s="2103" t="s">
        <v>2310</v>
      </c>
      <c r="J82" s="2103"/>
      <c r="K82" s="2103"/>
      <c r="L82" s="2103"/>
      <c r="M82" s="2103"/>
      <c r="N82" s="2103"/>
      <c r="O82" s="2103" t="s">
        <v>2287</v>
      </c>
      <c r="P82" s="2103"/>
      <c r="Q82" s="2103"/>
      <c r="R82" s="2103"/>
      <c r="S82" s="2103"/>
      <c r="T82" s="2103"/>
      <c r="U82" s="2103"/>
      <c r="V82" s="2139" t="s">
        <v>2286</v>
      </c>
      <c r="W82" s="2139"/>
      <c r="X82" s="2139"/>
      <c r="Y82" s="2139"/>
      <c r="Z82" s="2139"/>
      <c r="AA82" s="2139"/>
      <c r="AB82" s="2076" t="s">
        <v>2309</v>
      </c>
      <c r="AC82" s="2076"/>
      <c r="AD82" s="2076"/>
      <c r="AE82" s="2076"/>
      <c r="AF82" s="2076"/>
      <c r="AG82" s="2076"/>
      <c r="AH82" s="2140"/>
      <c r="AI82" s="1208"/>
      <c r="AJ82" s="2131"/>
      <c r="AK82" s="2132"/>
      <c r="AL82" s="2132"/>
      <c r="AM82" s="2132"/>
      <c r="AN82" s="2132"/>
      <c r="AO82" s="2132"/>
      <c r="AP82" s="2132"/>
      <c r="AQ82" s="2132"/>
      <c r="AR82" s="2132"/>
      <c r="AS82" s="2132"/>
      <c r="AT82" s="2132"/>
      <c r="AU82" s="2132"/>
      <c r="AV82" s="2132"/>
      <c r="AW82" s="2132"/>
      <c r="AX82" s="2132"/>
      <c r="AY82" s="2149"/>
      <c r="AZ82" s="2149"/>
      <c r="BA82" s="2149"/>
      <c r="BB82" s="2150"/>
      <c r="BC82" s="1208"/>
      <c r="BD82" s="1208"/>
      <c r="BE82" s="1215"/>
      <c r="CK82" s="1206"/>
      <c r="CL82" s="1206"/>
      <c r="CM82" s="1206"/>
      <c r="CN82" s="1206"/>
      <c r="CO82" s="1206"/>
      <c r="CP82" s="1206"/>
    </row>
    <row r="83" spans="1:94" ht="15.75" customHeight="1">
      <c r="A83" s="1208"/>
      <c r="B83" s="2109"/>
      <c r="C83" s="2103"/>
      <c r="D83" s="2103"/>
      <c r="E83" s="2103"/>
      <c r="F83" s="2103"/>
      <c r="G83" s="2103"/>
      <c r="H83" s="2103"/>
      <c r="I83" s="2103"/>
      <c r="J83" s="2103"/>
      <c r="K83" s="2103"/>
      <c r="L83" s="2103"/>
      <c r="M83" s="2103"/>
      <c r="N83" s="2103"/>
      <c r="O83" s="2103"/>
      <c r="P83" s="2103"/>
      <c r="Q83" s="2103"/>
      <c r="R83" s="2103"/>
      <c r="S83" s="2103"/>
      <c r="T83" s="2103"/>
      <c r="U83" s="2103"/>
      <c r="V83" s="2139"/>
      <c r="W83" s="2139"/>
      <c r="X83" s="2139"/>
      <c r="Y83" s="2139"/>
      <c r="Z83" s="2139"/>
      <c r="AA83" s="2139"/>
      <c r="AB83" s="2076"/>
      <c r="AC83" s="2076"/>
      <c r="AD83" s="2076"/>
      <c r="AE83" s="2076"/>
      <c r="AF83" s="2076"/>
      <c r="AG83" s="2076"/>
      <c r="AH83" s="2140"/>
      <c r="AI83" s="1208"/>
      <c r="AJ83" s="2131"/>
      <c r="AK83" s="2132"/>
      <c r="AL83" s="2132"/>
      <c r="AM83" s="2132"/>
      <c r="AN83" s="2132"/>
      <c r="AO83" s="2132"/>
      <c r="AP83" s="2132"/>
      <c r="AQ83" s="2132"/>
      <c r="AR83" s="2132"/>
      <c r="AS83" s="2132"/>
      <c r="AT83" s="2132"/>
      <c r="AU83" s="2132"/>
      <c r="AV83" s="2132"/>
      <c r="AW83" s="2132"/>
      <c r="AX83" s="2132"/>
      <c r="AY83" s="2149"/>
      <c r="AZ83" s="2149"/>
      <c r="BA83" s="2149"/>
      <c r="BB83" s="2150"/>
      <c r="BC83" s="1208"/>
      <c r="BD83" s="1208"/>
      <c r="BE83" s="1215"/>
      <c r="CK83" s="1206"/>
      <c r="CL83" s="1206"/>
      <c r="CM83" s="1206"/>
      <c r="CN83" s="1206"/>
      <c r="CO83" s="1206"/>
      <c r="CP83" s="1206"/>
    </row>
    <row r="84" spans="1:94" ht="15.75" customHeight="1">
      <c r="A84" s="1208"/>
      <c r="B84" s="2109" t="s">
        <v>2308</v>
      </c>
      <c r="C84" s="2103"/>
      <c r="D84" s="2103"/>
      <c r="E84" s="2103"/>
      <c r="F84" s="2103"/>
      <c r="G84" s="2103"/>
      <c r="H84" s="2103"/>
      <c r="I84" s="2079">
        <v>0</v>
      </c>
      <c r="J84" s="2079"/>
      <c r="K84" s="2079"/>
      <c r="L84" s="2079"/>
      <c r="M84" s="2079"/>
      <c r="N84" s="2079"/>
      <c r="O84" s="2079">
        <v>0</v>
      </c>
      <c r="P84" s="2079"/>
      <c r="Q84" s="2079"/>
      <c r="R84" s="2079"/>
      <c r="S84" s="2079"/>
      <c r="T84" s="2079"/>
      <c r="U84" s="2079"/>
      <c r="V84" s="2079">
        <v>0</v>
      </c>
      <c r="W84" s="2079"/>
      <c r="X84" s="2079"/>
      <c r="Y84" s="2079"/>
      <c r="Z84" s="2079"/>
      <c r="AA84" s="2079"/>
      <c r="AB84" s="2079">
        <v>0</v>
      </c>
      <c r="AC84" s="2079"/>
      <c r="AD84" s="2079"/>
      <c r="AE84" s="2079"/>
      <c r="AF84" s="2079"/>
      <c r="AG84" s="2079"/>
      <c r="AH84" s="2080"/>
      <c r="AI84" s="1208"/>
      <c r="AJ84" s="2131"/>
      <c r="AK84" s="2132"/>
      <c r="AL84" s="2132"/>
      <c r="AM84" s="2132"/>
      <c r="AN84" s="2132"/>
      <c r="AO84" s="2132"/>
      <c r="AP84" s="2132"/>
      <c r="AQ84" s="2132"/>
      <c r="AR84" s="2132"/>
      <c r="AS84" s="2132"/>
      <c r="AT84" s="2132"/>
      <c r="AU84" s="2132"/>
      <c r="AV84" s="2132"/>
      <c r="AW84" s="2132"/>
      <c r="AX84" s="2132"/>
      <c r="AY84" s="2149"/>
      <c r="AZ84" s="2149"/>
      <c r="BA84" s="2149"/>
      <c r="BB84" s="2150"/>
      <c r="BC84" s="1208"/>
      <c r="BD84" s="1208"/>
      <c r="BE84" s="1215"/>
      <c r="CK84" s="1206"/>
      <c r="CL84" s="1206"/>
      <c r="CM84" s="1206"/>
      <c r="CN84" s="1206"/>
      <c r="CO84" s="1206"/>
      <c r="CP84" s="1206"/>
    </row>
    <row r="85" spans="1:94" ht="15.75" customHeight="1">
      <c r="A85" s="1208"/>
      <c r="B85" s="2109" t="s">
        <v>2307</v>
      </c>
      <c r="C85" s="2103"/>
      <c r="D85" s="2103"/>
      <c r="E85" s="2103"/>
      <c r="F85" s="2103"/>
      <c r="G85" s="2103"/>
      <c r="H85" s="2103"/>
      <c r="I85" s="2079">
        <v>0</v>
      </c>
      <c r="J85" s="2079"/>
      <c r="K85" s="2079"/>
      <c r="L85" s="2079"/>
      <c r="M85" s="2079"/>
      <c r="N85" s="2079"/>
      <c r="O85" s="2079">
        <v>0</v>
      </c>
      <c r="P85" s="2079"/>
      <c r="Q85" s="2079"/>
      <c r="R85" s="2079"/>
      <c r="S85" s="2079"/>
      <c r="T85" s="2079"/>
      <c r="U85" s="2079"/>
      <c r="V85" s="2079">
        <v>0</v>
      </c>
      <c r="W85" s="2079"/>
      <c r="X85" s="2079"/>
      <c r="Y85" s="2079"/>
      <c r="Z85" s="2079"/>
      <c r="AA85" s="2079"/>
      <c r="AB85" s="2079">
        <v>0</v>
      </c>
      <c r="AC85" s="2079"/>
      <c r="AD85" s="2079"/>
      <c r="AE85" s="2079"/>
      <c r="AF85" s="2079"/>
      <c r="AG85" s="2079"/>
      <c r="AH85" s="2080"/>
      <c r="AI85" s="1208"/>
      <c r="AJ85" s="2046" t="s">
        <v>2313</v>
      </c>
      <c r="AK85" s="2047"/>
      <c r="AL85" s="2047"/>
      <c r="AM85" s="2047"/>
      <c r="AN85" s="2047"/>
      <c r="AO85" s="2047"/>
      <c r="AP85" s="2047"/>
      <c r="AQ85" s="2047"/>
      <c r="AR85" s="2047"/>
      <c r="AS85" s="2047"/>
      <c r="AT85" s="2047"/>
      <c r="AU85" s="2047"/>
      <c r="AV85" s="2047"/>
      <c r="AW85" s="2047"/>
      <c r="AX85" s="2047"/>
      <c r="AY85" s="2047"/>
      <c r="AZ85" s="2047"/>
      <c r="BA85" s="2047"/>
      <c r="BB85" s="2048"/>
      <c r="BC85" s="1208"/>
      <c r="BD85" s="1208"/>
      <c r="BE85" s="1215"/>
      <c r="CK85" s="1206"/>
      <c r="CL85" s="1206"/>
      <c r="CM85" s="1206"/>
      <c r="CN85" s="1206"/>
      <c r="CO85" s="1206"/>
      <c r="CP85" s="1206"/>
    </row>
    <row r="86" spans="1:94" ht="15.75" customHeight="1" thickBot="1">
      <c r="A86" s="1208"/>
      <c r="B86" s="2137" t="s">
        <v>2306</v>
      </c>
      <c r="C86" s="2138"/>
      <c r="D86" s="2138"/>
      <c r="E86" s="2138"/>
      <c r="F86" s="2138"/>
      <c r="G86" s="2138"/>
      <c r="H86" s="2138"/>
      <c r="I86" s="2073">
        <v>0</v>
      </c>
      <c r="J86" s="2073"/>
      <c r="K86" s="2073"/>
      <c r="L86" s="2073"/>
      <c r="M86" s="2073"/>
      <c r="N86" s="2073"/>
      <c r="O86" s="2073">
        <v>0</v>
      </c>
      <c r="P86" s="2073"/>
      <c r="Q86" s="2073"/>
      <c r="R86" s="2073"/>
      <c r="S86" s="2073"/>
      <c r="T86" s="2073"/>
      <c r="U86" s="2073"/>
      <c r="V86" s="2073">
        <v>0</v>
      </c>
      <c r="W86" s="2073"/>
      <c r="X86" s="2073"/>
      <c r="Y86" s="2073"/>
      <c r="Z86" s="2073"/>
      <c r="AA86" s="2073"/>
      <c r="AB86" s="2073">
        <v>0</v>
      </c>
      <c r="AC86" s="2073"/>
      <c r="AD86" s="2073"/>
      <c r="AE86" s="2073"/>
      <c r="AF86" s="2073"/>
      <c r="AG86" s="2073"/>
      <c r="AH86" s="2074"/>
      <c r="AI86" s="1208"/>
      <c r="AJ86" s="2049"/>
      <c r="AK86" s="2050"/>
      <c r="AL86" s="2050"/>
      <c r="AM86" s="2050"/>
      <c r="AN86" s="2050"/>
      <c r="AO86" s="2050"/>
      <c r="AP86" s="2050"/>
      <c r="AQ86" s="2050"/>
      <c r="AR86" s="2050"/>
      <c r="AS86" s="2050"/>
      <c r="AT86" s="2050"/>
      <c r="AU86" s="2050"/>
      <c r="AV86" s="2050"/>
      <c r="AW86" s="2050"/>
      <c r="AX86" s="2050"/>
      <c r="AY86" s="2050"/>
      <c r="AZ86" s="2050"/>
      <c r="BA86" s="2050"/>
      <c r="BB86" s="2051"/>
      <c r="BC86" s="1208"/>
      <c r="BD86" s="1208"/>
      <c r="BE86" s="1215"/>
      <c r="CK86" s="1206"/>
      <c r="CL86" s="1206"/>
      <c r="CM86" s="1206"/>
      <c r="CN86" s="1206"/>
      <c r="CO86" s="1206"/>
      <c r="CP86" s="1206"/>
    </row>
    <row r="87" spans="1:94" ht="15.75" customHeight="1">
      <c r="A87" s="1208"/>
      <c r="B87" s="1208"/>
      <c r="C87" s="1208"/>
      <c r="D87" s="1208"/>
      <c r="E87" s="1208"/>
      <c r="F87" s="1208"/>
      <c r="G87" s="1208"/>
      <c r="H87" s="1208"/>
      <c r="I87" s="1208"/>
      <c r="J87" s="1208"/>
      <c r="K87" s="1208"/>
      <c r="L87" s="1208"/>
      <c r="M87" s="1208"/>
      <c r="N87" s="1208"/>
      <c r="O87" s="1208"/>
      <c r="P87" s="1208"/>
      <c r="Q87" s="1208"/>
      <c r="R87" s="1208"/>
      <c r="S87" s="1208"/>
      <c r="T87" s="1208"/>
      <c r="U87" s="1208"/>
      <c r="V87" s="1208"/>
      <c r="W87" s="1208"/>
      <c r="X87" s="1208"/>
      <c r="Y87" s="1208"/>
      <c r="Z87" s="1208"/>
      <c r="AA87" s="1208"/>
      <c r="AB87" s="1208"/>
      <c r="AC87" s="1208"/>
      <c r="AD87" s="1208"/>
      <c r="AE87" s="1208"/>
      <c r="AF87" s="1208"/>
      <c r="AG87" s="1208"/>
      <c r="AH87" s="1208"/>
      <c r="AI87" s="1208"/>
      <c r="AJ87" s="1208"/>
      <c r="AK87" s="1208"/>
      <c r="AL87" s="1208"/>
      <c r="AM87" s="1208"/>
      <c r="AN87" s="1208"/>
      <c r="AO87" s="1208"/>
      <c r="AP87" s="1208"/>
      <c r="AQ87" s="1208"/>
      <c r="AR87" s="1208"/>
      <c r="AS87" s="1208"/>
      <c r="AT87" s="1208"/>
      <c r="AU87" s="1208"/>
      <c r="AV87" s="1208"/>
      <c r="AW87" s="1208"/>
      <c r="AX87" s="1208"/>
      <c r="AY87" s="1208"/>
      <c r="AZ87" s="1208"/>
      <c r="BA87" s="1208"/>
      <c r="BB87" s="1208"/>
      <c r="BC87" s="1208"/>
      <c r="BD87" s="1208"/>
      <c r="BE87" s="1215"/>
      <c r="CM87" s="1206"/>
      <c r="CN87" s="1206"/>
      <c r="CO87" s="1206"/>
      <c r="CP87" s="1206"/>
    </row>
    <row r="88" spans="1:94" ht="15.75" customHeight="1" thickBot="1">
      <c r="A88" s="1208"/>
      <c r="B88" s="1208"/>
      <c r="C88" s="1208"/>
      <c r="D88" s="1208"/>
      <c r="E88" s="1208"/>
      <c r="F88" s="1208"/>
      <c r="G88" s="1208"/>
      <c r="H88" s="1208"/>
      <c r="I88" s="1208"/>
      <c r="J88" s="1208"/>
      <c r="K88" s="1208"/>
      <c r="L88" s="1208"/>
      <c r="M88" s="1208"/>
      <c r="N88" s="1208"/>
      <c r="O88" s="1208"/>
      <c r="P88" s="1208"/>
      <c r="Q88" s="1208"/>
      <c r="R88" s="1208"/>
      <c r="S88" s="1208"/>
      <c r="T88" s="1208"/>
      <c r="U88" s="1208"/>
      <c r="V88" s="1208"/>
      <c r="W88" s="1208"/>
      <c r="X88" s="1208"/>
      <c r="Y88" s="1208"/>
      <c r="Z88" s="1208"/>
      <c r="AA88" s="1208"/>
      <c r="AB88" s="1208"/>
      <c r="AC88" s="1208"/>
      <c r="AD88" s="1208"/>
      <c r="AE88" s="1208"/>
      <c r="AF88" s="1208"/>
      <c r="AG88" s="1208"/>
      <c r="AH88" s="1208"/>
      <c r="AI88" s="1208"/>
      <c r="AJ88" s="1208"/>
      <c r="AK88" s="1208"/>
      <c r="AL88" s="1208"/>
      <c r="AM88" s="1208"/>
      <c r="AN88" s="1208"/>
      <c r="AO88" s="1208"/>
      <c r="AP88" s="1208"/>
      <c r="AQ88" s="1208"/>
      <c r="AR88" s="1208"/>
      <c r="AS88" s="1208"/>
      <c r="AT88" s="1208"/>
      <c r="AU88" s="1208"/>
      <c r="AV88" s="1208"/>
      <c r="AW88" s="1208"/>
      <c r="AX88" s="1208"/>
      <c r="AY88" s="1208"/>
      <c r="AZ88" s="1208"/>
      <c r="BA88" s="1208"/>
      <c r="BB88" s="1208"/>
      <c r="BC88" s="1208"/>
      <c r="BD88" s="1208"/>
      <c r="BE88" s="1215"/>
      <c r="CM88" s="1206"/>
      <c r="CN88" s="1206"/>
      <c r="CO88" s="1206"/>
      <c r="CP88" s="1206"/>
    </row>
    <row r="89" spans="1:94" ht="15.75" customHeight="1" thickBot="1">
      <c r="A89" s="1208"/>
      <c r="B89" s="1224" t="s">
        <v>2315</v>
      </c>
      <c r="C89" s="1230"/>
      <c r="D89" s="1231"/>
      <c r="E89" s="1232"/>
      <c r="F89" s="1232"/>
      <c r="G89" s="1232"/>
      <c r="H89" s="1232"/>
      <c r="I89" s="1232"/>
      <c r="J89" s="1232"/>
      <c r="K89" s="1232"/>
      <c r="L89" s="1232"/>
      <c r="M89" s="1232"/>
      <c r="N89" s="1232"/>
      <c r="O89" s="1232"/>
      <c r="P89" s="1232"/>
      <c r="Q89" s="1232"/>
      <c r="R89" s="1232"/>
      <c r="S89" s="1232"/>
      <c r="T89" s="1233"/>
      <c r="U89" s="1208"/>
      <c r="V89" s="1208"/>
      <c r="W89" s="1208"/>
      <c r="X89" s="1208"/>
      <c r="Y89" s="1208"/>
      <c r="Z89" s="1208"/>
      <c r="AA89" s="1208"/>
      <c r="AB89" s="1208"/>
      <c r="AC89" s="1208"/>
      <c r="AD89" s="1208"/>
      <c r="AE89" s="1208"/>
      <c r="AF89" s="1208"/>
      <c r="AG89" s="1208"/>
      <c r="AH89" s="1208"/>
      <c r="AI89" s="1208"/>
      <c r="AJ89" s="1208"/>
      <c r="AK89" s="1208"/>
      <c r="AL89" s="1208"/>
      <c r="AM89" s="1208"/>
      <c r="AN89" s="1208"/>
      <c r="AO89" s="1208"/>
      <c r="AP89" s="1208"/>
      <c r="AQ89" s="1208"/>
      <c r="AR89" s="1208"/>
      <c r="AS89" s="1208"/>
      <c r="AT89" s="1208"/>
      <c r="AU89" s="1208"/>
      <c r="AV89" s="1208"/>
      <c r="AW89" s="1208"/>
      <c r="AX89" s="1208"/>
      <c r="AY89" s="1208"/>
      <c r="AZ89" s="1208"/>
      <c r="BA89" s="1208"/>
      <c r="BB89" s="1208"/>
      <c r="BC89" s="1208"/>
      <c r="BD89" s="1208"/>
      <c r="BE89" s="1215"/>
      <c r="BQ89" s="1190"/>
      <c r="CM89" s="1206"/>
      <c r="CN89" s="1206"/>
      <c r="CO89" s="1206"/>
      <c r="CP89" s="1206"/>
    </row>
    <row r="90" spans="1:94" ht="15.75" customHeight="1">
      <c r="A90" s="1208"/>
      <c r="B90" s="1234" t="s">
        <v>2224</v>
      </c>
      <c r="C90" s="1234"/>
      <c r="D90" s="1235"/>
      <c r="E90" s="1236"/>
      <c r="F90" s="2141"/>
      <c r="G90" s="2142"/>
      <c r="H90" s="2142"/>
      <c r="I90" s="2142"/>
      <c r="J90" s="2142"/>
      <c r="K90" s="2142"/>
      <c r="L90" s="2142"/>
      <c r="M90" s="2142"/>
      <c r="N90" s="2142"/>
      <c r="O90" s="2142"/>
      <c r="P90" s="2142"/>
      <c r="Q90" s="2142"/>
      <c r="R90" s="2142"/>
      <c r="S90" s="2142"/>
      <c r="T90" s="2143"/>
      <c r="U90" s="1208"/>
      <c r="V90" s="1208"/>
      <c r="W90" s="1208"/>
      <c r="X90" s="1208"/>
      <c r="Y90" s="1208"/>
      <c r="Z90" s="1208"/>
      <c r="AA90" s="1208"/>
      <c r="AB90" s="1208"/>
      <c r="AC90" s="1208"/>
      <c r="AD90" s="1208"/>
      <c r="AE90" s="1208"/>
      <c r="AF90" s="1208"/>
      <c r="AG90" s="1208"/>
      <c r="AH90" s="1208"/>
      <c r="AI90" s="1208"/>
      <c r="AJ90" s="1208"/>
      <c r="AK90" s="1208"/>
      <c r="AL90" s="1208"/>
      <c r="AM90" s="1208"/>
      <c r="AN90" s="1208"/>
      <c r="AO90" s="1208"/>
      <c r="AP90" s="1208"/>
      <c r="AQ90" s="1208"/>
      <c r="AR90" s="1208"/>
      <c r="AS90" s="1208"/>
      <c r="AT90" s="1208"/>
      <c r="AU90" s="1208"/>
      <c r="AV90" s="1208"/>
      <c r="AW90" s="1208"/>
      <c r="AX90" s="1208"/>
      <c r="AY90" s="1208"/>
      <c r="AZ90" s="1208"/>
      <c r="BA90" s="1208"/>
      <c r="BB90" s="1208"/>
      <c r="BC90" s="1208"/>
      <c r="BD90" s="1208"/>
      <c r="BE90" s="1215"/>
      <c r="CM90" s="1206"/>
      <c r="CN90" s="1206"/>
      <c r="CO90" s="1206"/>
      <c r="CP90" s="1206"/>
    </row>
    <row r="91" spans="1:94" ht="15.75" customHeight="1" thickBot="1">
      <c r="A91" s="1208"/>
      <c r="B91" s="1208"/>
      <c r="C91" s="1208"/>
      <c r="D91" s="1208"/>
      <c r="E91" s="1208"/>
      <c r="F91" s="1208"/>
      <c r="G91" s="1208"/>
      <c r="H91" s="1208"/>
      <c r="I91" s="1208"/>
      <c r="J91" s="1208"/>
      <c r="K91" s="1208"/>
      <c r="L91" s="1208"/>
      <c r="M91" s="1208"/>
      <c r="N91" s="1208"/>
      <c r="O91" s="1208"/>
      <c r="P91" s="1208"/>
      <c r="Q91" s="1208"/>
      <c r="R91" s="1208"/>
      <c r="S91" s="1208"/>
      <c r="T91" s="1208"/>
      <c r="U91" s="1208"/>
      <c r="V91" s="1208"/>
      <c r="W91" s="1208"/>
      <c r="X91" s="1208"/>
      <c r="Y91" s="1208"/>
      <c r="Z91" s="1208"/>
      <c r="AA91" s="1208"/>
      <c r="AB91" s="1208"/>
      <c r="AC91" s="1208"/>
      <c r="AD91" s="1208"/>
      <c r="AE91" s="1208"/>
      <c r="AF91" s="1208"/>
      <c r="AG91" s="1208"/>
      <c r="AH91" s="1208"/>
      <c r="AI91" s="1208"/>
      <c r="AJ91" s="1208"/>
      <c r="AK91" s="1208"/>
      <c r="AL91" s="1208"/>
      <c r="AM91" s="1208"/>
      <c r="AN91" s="1208"/>
      <c r="AO91" s="1208"/>
      <c r="AP91" s="1208"/>
      <c r="AQ91" s="1208"/>
      <c r="AR91" s="1208"/>
      <c r="AS91" s="1208"/>
      <c r="AT91" s="1208"/>
      <c r="AU91" s="1208"/>
      <c r="AV91" s="1208"/>
      <c r="AW91" s="1208"/>
      <c r="AX91" s="1208"/>
      <c r="AY91" s="1208"/>
      <c r="AZ91" s="1208"/>
      <c r="BA91" s="1208"/>
      <c r="BB91" s="1208"/>
      <c r="BC91" s="1208"/>
      <c r="BD91" s="1208"/>
      <c r="BE91" s="1215"/>
      <c r="BH91" s="1237"/>
      <c r="BI91" s="1237"/>
      <c r="BJ91" s="1237"/>
      <c r="BK91" s="1237"/>
      <c r="BL91" s="1237"/>
      <c r="BM91" s="1237"/>
      <c r="BN91" s="1237"/>
      <c r="BO91" s="1237"/>
      <c r="BP91" s="1237"/>
      <c r="BQ91" s="1237"/>
      <c r="BR91" s="1237"/>
      <c r="BS91" s="1237"/>
      <c r="CM91" s="1206"/>
      <c r="CN91" s="1206"/>
      <c r="CO91" s="1206"/>
      <c r="CP91" s="1206"/>
    </row>
    <row r="92" spans="1:94" ht="15.75" customHeight="1">
      <c r="A92" s="1208"/>
      <c r="B92" s="2144" t="s">
        <v>2314</v>
      </c>
      <c r="C92" s="2145"/>
      <c r="D92" s="2145"/>
      <c r="E92" s="2145"/>
      <c r="F92" s="2145"/>
      <c r="G92" s="2145"/>
      <c r="H92" s="2145"/>
      <c r="I92" s="2145"/>
      <c r="J92" s="2145"/>
      <c r="K92" s="2145"/>
      <c r="L92" s="2145"/>
      <c r="M92" s="2145"/>
      <c r="N92" s="2145"/>
      <c r="O92" s="2145"/>
      <c r="P92" s="2145"/>
      <c r="Q92" s="2145"/>
      <c r="R92" s="2145"/>
      <c r="S92" s="2145"/>
      <c r="T92" s="2145"/>
      <c r="U92" s="2145"/>
      <c r="V92" s="2145"/>
      <c r="W92" s="2145"/>
      <c r="X92" s="2145"/>
      <c r="Y92" s="2145"/>
      <c r="Z92" s="2145"/>
      <c r="AA92" s="2145"/>
      <c r="AB92" s="2145"/>
      <c r="AC92" s="2145"/>
      <c r="AD92" s="2145"/>
      <c r="AE92" s="2145"/>
      <c r="AF92" s="2145"/>
      <c r="AG92" s="2145"/>
      <c r="AH92" s="2146"/>
      <c r="AI92" s="1208"/>
      <c r="AJ92" s="2128" t="s">
        <v>2619</v>
      </c>
      <c r="AK92" s="2129"/>
      <c r="AL92" s="2129"/>
      <c r="AM92" s="2129"/>
      <c r="AN92" s="2129"/>
      <c r="AO92" s="2129"/>
      <c r="AP92" s="2129"/>
      <c r="AQ92" s="2129"/>
      <c r="AR92" s="2129"/>
      <c r="AS92" s="2129"/>
      <c r="AT92" s="2129"/>
      <c r="AU92" s="2129"/>
      <c r="AV92" s="2129"/>
      <c r="AW92" s="2129"/>
      <c r="AX92" s="2129"/>
      <c r="AY92" s="2147" t="s">
        <v>545</v>
      </c>
      <c r="AZ92" s="2147"/>
      <c r="BA92" s="2147"/>
      <c r="BB92" s="2148"/>
      <c r="BC92" s="1208"/>
      <c r="BD92" s="1208"/>
      <c r="BE92" s="1215"/>
      <c r="BH92" s="1237"/>
      <c r="BI92" s="1237"/>
      <c r="BJ92" s="1237"/>
      <c r="BK92" s="1237"/>
      <c r="BL92" s="1237"/>
      <c r="BM92" s="1237"/>
      <c r="BN92" s="1237"/>
      <c r="BO92" s="1237"/>
      <c r="BP92" s="1237"/>
      <c r="BQ92" s="1237"/>
      <c r="BR92" s="1238"/>
      <c r="BS92" s="1237"/>
      <c r="CM92" s="1206"/>
      <c r="CN92" s="1206"/>
      <c r="CO92" s="1206"/>
      <c r="CP92" s="1206"/>
    </row>
    <row r="93" spans="1:94" ht="15.75" customHeight="1">
      <c r="A93" s="1208"/>
      <c r="B93" s="2109"/>
      <c r="C93" s="2103"/>
      <c r="D93" s="2103"/>
      <c r="E93" s="2103"/>
      <c r="F93" s="2103"/>
      <c r="G93" s="2103"/>
      <c r="H93" s="2103"/>
      <c r="I93" s="2103" t="s">
        <v>2310</v>
      </c>
      <c r="J93" s="2103"/>
      <c r="K93" s="2103"/>
      <c r="L93" s="2103"/>
      <c r="M93" s="2103"/>
      <c r="N93" s="2103"/>
      <c r="O93" s="2103" t="s">
        <v>2287</v>
      </c>
      <c r="P93" s="2103"/>
      <c r="Q93" s="2103"/>
      <c r="R93" s="2103"/>
      <c r="S93" s="2103"/>
      <c r="T93" s="2103"/>
      <c r="U93" s="2103"/>
      <c r="V93" s="2139" t="s">
        <v>2286</v>
      </c>
      <c r="W93" s="2139"/>
      <c r="X93" s="2139"/>
      <c r="Y93" s="2139"/>
      <c r="Z93" s="2139"/>
      <c r="AA93" s="2139"/>
      <c r="AB93" s="2076" t="s">
        <v>2309</v>
      </c>
      <c r="AC93" s="2076"/>
      <c r="AD93" s="2076"/>
      <c r="AE93" s="2076"/>
      <c r="AF93" s="2076"/>
      <c r="AG93" s="2076"/>
      <c r="AH93" s="2140"/>
      <c r="AI93" s="1208"/>
      <c r="AJ93" s="2131"/>
      <c r="AK93" s="2132"/>
      <c r="AL93" s="2132"/>
      <c r="AM93" s="2132"/>
      <c r="AN93" s="2132"/>
      <c r="AO93" s="2132"/>
      <c r="AP93" s="2132"/>
      <c r="AQ93" s="2132"/>
      <c r="AR93" s="2132"/>
      <c r="AS93" s="2132"/>
      <c r="AT93" s="2132"/>
      <c r="AU93" s="2132"/>
      <c r="AV93" s="2132"/>
      <c r="AW93" s="2132"/>
      <c r="AX93" s="2132"/>
      <c r="AY93" s="2149"/>
      <c r="AZ93" s="2149"/>
      <c r="BA93" s="2149"/>
      <c r="BB93" s="2150"/>
      <c r="BC93" s="1208"/>
      <c r="BD93" s="1208"/>
      <c r="BE93" s="1215"/>
      <c r="BH93" s="1237"/>
      <c r="BI93" s="1237"/>
      <c r="BJ93" s="1237"/>
      <c r="BK93" s="1237"/>
      <c r="BL93" s="1237"/>
      <c r="BM93" s="1237"/>
      <c r="BN93" s="1237"/>
      <c r="BO93" s="1237"/>
      <c r="BP93" s="1237"/>
      <c r="BQ93" s="1237"/>
      <c r="BR93" s="1238"/>
      <c r="BS93" s="1237"/>
      <c r="CM93" s="1206"/>
      <c r="CN93" s="1206"/>
      <c r="CO93" s="1206"/>
      <c r="CP93" s="1206"/>
    </row>
    <row r="94" spans="1:94" ht="15.75" customHeight="1">
      <c r="A94" s="1208"/>
      <c r="B94" s="2109"/>
      <c r="C94" s="2103"/>
      <c r="D94" s="2103"/>
      <c r="E94" s="2103"/>
      <c r="F94" s="2103"/>
      <c r="G94" s="2103"/>
      <c r="H94" s="2103"/>
      <c r="I94" s="2103"/>
      <c r="J94" s="2103"/>
      <c r="K94" s="2103"/>
      <c r="L94" s="2103"/>
      <c r="M94" s="2103"/>
      <c r="N94" s="2103"/>
      <c r="O94" s="2103"/>
      <c r="P94" s="2103"/>
      <c r="Q94" s="2103"/>
      <c r="R94" s="2103"/>
      <c r="S94" s="2103"/>
      <c r="T94" s="2103"/>
      <c r="U94" s="2103"/>
      <c r="V94" s="2139"/>
      <c r="W94" s="2139"/>
      <c r="X94" s="2139"/>
      <c r="Y94" s="2139"/>
      <c r="Z94" s="2139"/>
      <c r="AA94" s="2139"/>
      <c r="AB94" s="2076"/>
      <c r="AC94" s="2076"/>
      <c r="AD94" s="2076"/>
      <c r="AE94" s="2076"/>
      <c r="AF94" s="2076"/>
      <c r="AG94" s="2076"/>
      <c r="AH94" s="2140"/>
      <c r="AI94" s="1208"/>
      <c r="AJ94" s="2131"/>
      <c r="AK94" s="2132"/>
      <c r="AL94" s="2132"/>
      <c r="AM94" s="2132"/>
      <c r="AN94" s="2132"/>
      <c r="AO94" s="2132"/>
      <c r="AP94" s="2132"/>
      <c r="AQ94" s="2132"/>
      <c r="AR94" s="2132"/>
      <c r="AS94" s="2132"/>
      <c r="AT94" s="2132"/>
      <c r="AU94" s="2132"/>
      <c r="AV94" s="2132"/>
      <c r="AW94" s="2132"/>
      <c r="AX94" s="2132"/>
      <c r="AY94" s="2149"/>
      <c r="AZ94" s="2149"/>
      <c r="BA94" s="2149"/>
      <c r="BB94" s="2150"/>
      <c r="BC94" s="1208"/>
      <c r="BD94" s="1208"/>
      <c r="BE94" s="1215"/>
      <c r="BH94" s="1237"/>
      <c r="BI94" s="1237"/>
      <c r="BJ94" s="1237"/>
      <c r="BK94" s="1237"/>
      <c r="BL94" s="1237"/>
      <c r="BM94" s="1237"/>
      <c r="BN94" s="1237"/>
      <c r="BO94" s="1237"/>
      <c r="BP94" s="1237"/>
      <c r="BQ94" s="1237"/>
      <c r="BR94" s="1238"/>
      <c r="BS94" s="1237"/>
      <c r="CM94" s="1206"/>
      <c r="CN94" s="1206"/>
      <c r="CO94" s="1206"/>
      <c r="CP94" s="1206"/>
    </row>
    <row r="95" spans="1:94" ht="15.75" customHeight="1">
      <c r="A95" s="1208"/>
      <c r="B95" s="2109" t="s">
        <v>2308</v>
      </c>
      <c r="C95" s="2103"/>
      <c r="D95" s="2103"/>
      <c r="E95" s="2103"/>
      <c r="F95" s="2103"/>
      <c r="G95" s="2103"/>
      <c r="H95" s="2103"/>
      <c r="I95" s="2079">
        <v>0</v>
      </c>
      <c r="J95" s="2079"/>
      <c r="K95" s="2079"/>
      <c r="L95" s="2079"/>
      <c r="M95" s="2079"/>
      <c r="N95" s="2079"/>
      <c r="O95" s="2079">
        <v>0</v>
      </c>
      <c r="P95" s="2079"/>
      <c r="Q95" s="2079"/>
      <c r="R95" s="2079"/>
      <c r="S95" s="2079"/>
      <c r="T95" s="2079"/>
      <c r="U95" s="2079"/>
      <c r="V95" s="2079">
        <v>0</v>
      </c>
      <c r="W95" s="2079"/>
      <c r="X95" s="2079"/>
      <c r="Y95" s="2079"/>
      <c r="Z95" s="2079"/>
      <c r="AA95" s="2079"/>
      <c r="AB95" s="2079">
        <v>0</v>
      </c>
      <c r="AC95" s="2079"/>
      <c r="AD95" s="2079"/>
      <c r="AE95" s="2079"/>
      <c r="AF95" s="2079"/>
      <c r="AG95" s="2079"/>
      <c r="AH95" s="2080"/>
      <c r="AI95" s="1208"/>
      <c r="AJ95" s="2131"/>
      <c r="AK95" s="2132"/>
      <c r="AL95" s="2132"/>
      <c r="AM95" s="2132"/>
      <c r="AN95" s="2132"/>
      <c r="AO95" s="2132"/>
      <c r="AP95" s="2132"/>
      <c r="AQ95" s="2132"/>
      <c r="AR95" s="2132"/>
      <c r="AS95" s="2132"/>
      <c r="AT95" s="2132"/>
      <c r="AU95" s="2132"/>
      <c r="AV95" s="2132"/>
      <c r="AW95" s="2132"/>
      <c r="AX95" s="2132"/>
      <c r="AY95" s="2149"/>
      <c r="AZ95" s="2149"/>
      <c r="BA95" s="2149"/>
      <c r="BB95" s="2150"/>
      <c r="BC95" s="1208"/>
      <c r="BD95" s="1208"/>
      <c r="BE95" s="1215"/>
      <c r="BH95" s="1237"/>
      <c r="BI95" s="1237"/>
      <c r="BJ95" s="1237"/>
      <c r="BK95" s="1237"/>
      <c r="BL95" s="1237"/>
      <c r="BM95" s="1237"/>
      <c r="BN95" s="1237"/>
      <c r="BO95" s="1237"/>
      <c r="BP95" s="1237"/>
      <c r="BQ95" s="1237"/>
      <c r="BR95" s="1237"/>
      <c r="BS95" s="1237"/>
      <c r="CM95" s="1206"/>
      <c r="CN95" s="1206"/>
      <c r="CO95" s="1206"/>
      <c r="CP95" s="1206"/>
    </row>
    <row r="96" spans="1:94" ht="15.75" customHeight="1">
      <c r="A96" s="1208"/>
      <c r="B96" s="2109" t="s">
        <v>2307</v>
      </c>
      <c r="C96" s="2103"/>
      <c r="D96" s="2103"/>
      <c r="E96" s="2103"/>
      <c r="F96" s="2103"/>
      <c r="G96" s="2103"/>
      <c r="H96" s="2103"/>
      <c r="I96" s="2079">
        <v>0</v>
      </c>
      <c r="J96" s="2079"/>
      <c r="K96" s="2079"/>
      <c r="L96" s="2079"/>
      <c r="M96" s="2079"/>
      <c r="N96" s="2079"/>
      <c r="O96" s="2079">
        <v>0</v>
      </c>
      <c r="P96" s="2079"/>
      <c r="Q96" s="2079"/>
      <c r="R96" s="2079"/>
      <c r="S96" s="2079"/>
      <c r="T96" s="2079"/>
      <c r="U96" s="2079"/>
      <c r="V96" s="2079">
        <v>0</v>
      </c>
      <c r="W96" s="2079"/>
      <c r="X96" s="2079"/>
      <c r="Y96" s="2079"/>
      <c r="Z96" s="2079"/>
      <c r="AA96" s="2079"/>
      <c r="AB96" s="2079">
        <v>0</v>
      </c>
      <c r="AC96" s="2079"/>
      <c r="AD96" s="2079"/>
      <c r="AE96" s="2079"/>
      <c r="AF96" s="2079"/>
      <c r="AG96" s="2079"/>
      <c r="AH96" s="2080"/>
      <c r="AI96" s="1208"/>
      <c r="AJ96" s="2046" t="s">
        <v>2313</v>
      </c>
      <c r="AK96" s="2047"/>
      <c r="AL96" s="2047"/>
      <c r="AM96" s="2047"/>
      <c r="AN96" s="2047"/>
      <c r="AO96" s="2047"/>
      <c r="AP96" s="2047"/>
      <c r="AQ96" s="2047"/>
      <c r="AR96" s="2047"/>
      <c r="AS96" s="2047"/>
      <c r="AT96" s="2047"/>
      <c r="AU96" s="2047"/>
      <c r="AV96" s="2047"/>
      <c r="AW96" s="2047"/>
      <c r="AX96" s="2047"/>
      <c r="AY96" s="2047"/>
      <c r="AZ96" s="2047"/>
      <c r="BA96" s="2047"/>
      <c r="BB96" s="2048"/>
      <c r="BC96" s="1208"/>
      <c r="BD96" s="1208"/>
      <c r="BE96" s="1215"/>
      <c r="BH96" s="1237"/>
      <c r="BI96" s="1237"/>
      <c r="BJ96" s="1237"/>
      <c r="BK96" s="1237"/>
      <c r="BL96" s="1237"/>
      <c r="BM96" s="1237"/>
      <c r="BN96" s="1237"/>
      <c r="BO96" s="1237"/>
      <c r="BP96" s="1237"/>
      <c r="BQ96" s="1237"/>
      <c r="BR96" s="1237"/>
      <c r="BS96" s="1237"/>
      <c r="CM96" s="1206"/>
      <c r="CN96" s="1206"/>
      <c r="CO96" s="1206"/>
      <c r="CP96" s="1206"/>
    </row>
    <row r="97" spans="1:94" ht="15.75" customHeight="1" thickBot="1">
      <c r="A97" s="1208"/>
      <c r="B97" s="2137" t="s">
        <v>2306</v>
      </c>
      <c r="C97" s="2138"/>
      <c r="D97" s="2138"/>
      <c r="E97" s="2138"/>
      <c r="F97" s="2138"/>
      <c r="G97" s="2138"/>
      <c r="H97" s="2138"/>
      <c r="I97" s="2073">
        <v>0</v>
      </c>
      <c r="J97" s="2073"/>
      <c r="K97" s="2073"/>
      <c r="L97" s="2073"/>
      <c r="M97" s="2073"/>
      <c r="N97" s="2073"/>
      <c r="O97" s="2073">
        <v>0</v>
      </c>
      <c r="P97" s="2073"/>
      <c r="Q97" s="2073"/>
      <c r="R97" s="2073"/>
      <c r="S97" s="2073"/>
      <c r="T97" s="2073"/>
      <c r="U97" s="2073"/>
      <c r="V97" s="2073">
        <v>0</v>
      </c>
      <c r="W97" s="2073"/>
      <c r="X97" s="2073"/>
      <c r="Y97" s="2073"/>
      <c r="Z97" s="2073"/>
      <c r="AA97" s="2073"/>
      <c r="AB97" s="2073">
        <v>0</v>
      </c>
      <c r="AC97" s="2073"/>
      <c r="AD97" s="2073"/>
      <c r="AE97" s="2073"/>
      <c r="AF97" s="2073"/>
      <c r="AG97" s="2073"/>
      <c r="AH97" s="2074"/>
      <c r="AI97" s="1208"/>
      <c r="AJ97" s="2049"/>
      <c r="AK97" s="2050"/>
      <c r="AL97" s="2050"/>
      <c r="AM97" s="2050"/>
      <c r="AN97" s="2050"/>
      <c r="AO97" s="2050"/>
      <c r="AP97" s="2050"/>
      <c r="AQ97" s="2050"/>
      <c r="AR97" s="2050"/>
      <c r="AS97" s="2050"/>
      <c r="AT97" s="2050"/>
      <c r="AU97" s="2050"/>
      <c r="AV97" s="2050"/>
      <c r="AW97" s="2050"/>
      <c r="AX97" s="2050"/>
      <c r="AY97" s="2050"/>
      <c r="AZ97" s="2050"/>
      <c r="BA97" s="2050"/>
      <c r="BB97" s="2051"/>
      <c r="BC97" s="1208"/>
      <c r="BD97" s="1208"/>
      <c r="BE97" s="1215"/>
      <c r="BH97" s="1237"/>
      <c r="BI97" s="1237"/>
      <c r="BJ97" s="1237"/>
      <c r="BK97" s="1237"/>
      <c r="BL97" s="1237"/>
      <c r="BM97" s="1237"/>
      <c r="BN97" s="1237"/>
      <c r="BO97" s="1237"/>
      <c r="BP97" s="1237"/>
      <c r="BQ97" s="1237"/>
      <c r="BR97" s="1237"/>
      <c r="BS97" s="1237"/>
      <c r="CM97" s="1206"/>
      <c r="CN97" s="1206"/>
      <c r="CO97" s="1206"/>
      <c r="CP97" s="1206"/>
    </row>
    <row r="98" spans="1:94" ht="15.75" customHeight="1" thickBot="1">
      <c r="A98" s="1208"/>
      <c r="B98" s="1208"/>
      <c r="C98" s="1208"/>
      <c r="D98" s="1208"/>
      <c r="E98" s="1208"/>
      <c r="F98" s="1208"/>
      <c r="G98" s="1208"/>
      <c r="H98" s="1208"/>
      <c r="I98" s="1208"/>
      <c r="J98" s="1208"/>
      <c r="K98" s="1208"/>
      <c r="L98" s="1208"/>
      <c r="M98" s="1208"/>
      <c r="N98" s="1208"/>
      <c r="O98" s="1208"/>
      <c r="P98" s="1208"/>
      <c r="Q98" s="1208"/>
      <c r="R98" s="1208"/>
      <c r="S98" s="1208"/>
      <c r="T98" s="1208"/>
      <c r="U98" s="1208"/>
      <c r="V98" s="1208"/>
      <c r="W98" s="1208"/>
      <c r="X98" s="1208"/>
      <c r="Y98" s="1208"/>
      <c r="Z98" s="1208"/>
      <c r="AA98" s="1208"/>
      <c r="AB98" s="1208"/>
      <c r="AC98" s="1208"/>
      <c r="AD98" s="1208"/>
      <c r="AE98" s="1208"/>
      <c r="AF98" s="1208"/>
      <c r="AG98" s="1208"/>
      <c r="AH98" s="1208"/>
      <c r="AI98" s="1208"/>
      <c r="AJ98" s="1208"/>
      <c r="AK98" s="1208"/>
      <c r="AL98" s="1208"/>
      <c r="AM98" s="1208"/>
      <c r="AN98" s="1208"/>
      <c r="AO98" s="1208"/>
      <c r="AP98" s="1208"/>
      <c r="AQ98" s="1208"/>
      <c r="AR98" s="1208"/>
      <c r="AS98" s="1208"/>
      <c r="AT98" s="1208"/>
      <c r="AU98" s="1208"/>
      <c r="AV98" s="1208"/>
      <c r="AW98" s="1208"/>
      <c r="AX98" s="1208"/>
      <c r="AY98" s="1208"/>
      <c r="AZ98" s="1208"/>
      <c r="BA98" s="1208"/>
      <c r="BB98" s="1208"/>
      <c r="BC98" s="1208"/>
      <c r="BD98" s="1208"/>
      <c r="BE98" s="1215"/>
      <c r="BH98" s="1237"/>
      <c r="BI98" s="1237"/>
      <c r="BJ98" s="1237"/>
      <c r="BK98" s="1237"/>
      <c r="BL98" s="1237"/>
      <c r="BM98" s="1237"/>
      <c r="BN98" s="1237"/>
      <c r="BO98" s="1237"/>
      <c r="BP98" s="1237"/>
      <c r="BQ98" s="1237"/>
      <c r="BR98" s="1237"/>
      <c r="BS98" s="1237"/>
      <c r="CM98" s="1206"/>
      <c r="CN98" s="1206"/>
      <c r="CO98" s="1206"/>
      <c r="CP98" s="1206"/>
    </row>
    <row r="99" spans="1:94" ht="15.75" customHeight="1" thickBot="1">
      <c r="A99" s="1208"/>
      <c r="B99" s="1231" t="s">
        <v>2312</v>
      </c>
      <c r="C99" s="1225"/>
      <c r="D99" s="1226"/>
      <c r="E99" s="1226"/>
      <c r="F99" s="1239"/>
      <c r="G99" s="1239"/>
      <c r="H99" s="1239"/>
      <c r="I99" s="1239"/>
      <c r="J99" s="1239"/>
      <c r="K99" s="1239"/>
      <c r="L99" s="1239"/>
      <c r="M99" s="1239"/>
      <c r="N99" s="1239"/>
      <c r="O99" s="1240"/>
      <c r="P99" s="1239"/>
      <c r="Q99" s="1239"/>
      <c r="R99" s="1240"/>
      <c r="S99" s="1208" t="s">
        <v>250</v>
      </c>
      <c r="T99" s="1208"/>
      <c r="U99" s="1208"/>
      <c r="V99" s="1208"/>
      <c r="W99" s="1208"/>
      <c r="X99" s="1208"/>
      <c r="Y99" s="1208"/>
      <c r="Z99" s="1208"/>
      <c r="AA99" s="1208"/>
      <c r="AB99" s="1208"/>
      <c r="AC99" s="1208"/>
      <c r="AD99" s="1208"/>
      <c r="AE99" s="1208"/>
      <c r="AF99" s="1208"/>
      <c r="AG99" s="1208"/>
      <c r="AH99" s="1208"/>
      <c r="AI99" s="1208"/>
      <c r="AJ99" s="1208"/>
      <c r="AK99" s="1208"/>
      <c r="AL99" s="1208"/>
      <c r="AM99" s="1208"/>
      <c r="AN99" s="1208"/>
      <c r="AO99" s="1208"/>
      <c r="AP99" s="1208"/>
      <c r="AQ99" s="1208"/>
      <c r="AR99" s="1208"/>
      <c r="AS99" s="1208"/>
      <c r="AT99" s="1208"/>
      <c r="AU99" s="1208"/>
      <c r="AV99" s="1208"/>
      <c r="AW99" s="1208"/>
      <c r="AX99" s="1208"/>
      <c r="AY99" s="1208"/>
      <c r="AZ99" s="1208"/>
      <c r="BA99" s="1208"/>
      <c r="BB99" s="1208"/>
      <c r="BC99" s="1208"/>
      <c r="BD99" s="1208"/>
      <c r="BE99" s="1215"/>
      <c r="BH99" s="1237"/>
      <c r="BI99" s="1237"/>
      <c r="BJ99" s="1237"/>
      <c r="BK99" s="1237"/>
      <c r="BL99" s="1237"/>
      <c r="BM99" s="1237"/>
      <c r="BN99" s="1237"/>
      <c r="BO99" s="1237"/>
      <c r="BP99" s="1237"/>
      <c r="BQ99" s="1237"/>
      <c r="BR99" s="1237"/>
      <c r="BS99" s="1237"/>
      <c r="CM99" s="1206"/>
      <c r="CN99" s="1206"/>
      <c r="CO99" s="1206"/>
      <c r="CP99" s="1206"/>
    </row>
    <row r="100" spans="1:94" ht="15.75" customHeight="1">
      <c r="A100" s="1208"/>
      <c r="B100" s="1234" t="s">
        <v>2224</v>
      </c>
      <c r="C100" s="1234"/>
      <c r="D100" s="1241"/>
      <c r="E100" s="1242"/>
      <c r="F100" s="2100"/>
      <c r="G100" s="2101"/>
      <c r="H100" s="2101"/>
      <c r="I100" s="2101"/>
      <c r="J100" s="2101"/>
      <c r="K100" s="2101"/>
      <c r="L100" s="2101"/>
      <c r="M100" s="2101"/>
      <c r="N100" s="2101"/>
      <c r="O100" s="2101"/>
      <c r="P100" s="2101"/>
      <c r="Q100" s="2101"/>
      <c r="R100" s="2102"/>
      <c r="S100" s="1208"/>
      <c r="T100" s="1208"/>
      <c r="U100" s="1208"/>
      <c r="V100" s="1208"/>
      <c r="W100" s="1208"/>
      <c r="X100" s="1208"/>
      <c r="Y100" s="1208"/>
      <c r="Z100" s="1208"/>
      <c r="AA100" s="1208"/>
      <c r="AB100" s="1208"/>
      <c r="AC100" s="1208"/>
      <c r="AD100" s="1208"/>
      <c r="AE100" s="1208"/>
      <c r="AF100" s="1208"/>
      <c r="AG100" s="1208"/>
      <c r="AH100" s="1208"/>
      <c r="AI100" s="1208"/>
      <c r="AJ100" s="1208"/>
      <c r="AK100" s="1208"/>
      <c r="AL100" s="1208"/>
      <c r="AM100" s="1208"/>
      <c r="AN100" s="1208"/>
      <c r="AO100" s="1208"/>
      <c r="AP100" s="1208"/>
      <c r="AQ100" s="1208"/>
      <c r="AR100" s="1208"/>
      <c r="AS100" s="1208"/>
      <c r="AT100" s="1208"/>
      <c r="AU100" s="1208"/>
      <c r="AV100" s="1208"/>
      <c r="AW100" s="1208"/>
      <c r="AX100" s="1208"/>
      <c r="AY100" s="1208"/>
      <c r="AZ100" s="1208"/>
      <c r="BA100" s="1208"/>
      <c r="BB100" s="1208"/>
      <c r="BC100" s="1208"/>
      <c r="BD100" s="1208"/>
      <c r="BE100" s="1215"/>
      <c r="CM100" s="1206"/>
      <c r="CN100" s="1206"/>
      <c r="CO100" s="1206"/>
      <c r="CP100" s="1206"/>
    </row>
    <row r="101" spans="1:94" ht="15.75" customHeight="1" thickBot="1">
      <c r="A101" s="1208"/>
      <c r="B101" s="1208"/>
      <c r="C101" s="1208"/>
      <c r="D101" s="1208"/>
      <c r="E101" s="1208"/>
      <c r="F101" s="1208"/>
      <c r="G101" s="1208"/>
      <c r="H101" s="1208"/>
      <c r="I101" s="1208"/>
      <c r="J101" s="1208"/>
      <c r="K101" s="1208"/>
      <c r="L101" s="1208"/>
      <c r="M101" s="1208"/>
      <c r="N101" s="1208"/>
      <c r="O101" s="1208"/>
      <c r="P101" s="1243"/>
      <c r="Q101" s="1208"/>
      <c r="R101" s="1208"/>
      <c r="S101" s="1208"/>
      <c r="T101" s="1208"/>
      <c r="U101" s="1208"/>
      <c r="V101" s="1208"/>
      <c r="W101" s="1208"/>
      <c r="X101" s="1208"/>
      <c r="Y101" s="1208"/>
      <c r="Z101" s="1208"/>
      <c r="AA101" s="1208"/>
      <c r="AB101" s="1208"/>
      <c r="AC101" s="1208"/>
      <c r="AD101" s="1208"/>
      <c r="AE101" s="1208"/>
      <c r="AF101" s="1208"/>
      <c r="AG101" s="1208"/>
      <c r="AH101" s="1208"/>
      <c r="AI101" s="1208"/>
      <c r="AJ101" s="1208"/>
      <c r="AK101" s="1208"/>
      <c r="AL101" s="1208"/>
      <c r="AM101" s="1208"/>
      <c r="AN101" s="1208"/>
      <c r="AO101" s="1208"/>
      <c r="AP101" s="1208"/>
      <c r="AQ101" s="1208"/>
      <c r="AR101" s="1208"/>
      <c r="AS101" s="1208"/>
      <c r="AT101" s="1208"/>
      <c r="AU101" s="1208"/>
      <c r="AV101" s="1208"/>
      <c r="AW101" s="1208"/>
      <c r="AX101" s="1208"/>
      <c r="AY101" s="1208"/>
      <c r="AZ101" s="1208"/>
      <c r="BA101" s="1208"/>
      <c r="BB101" s="1208"/>
      <c r="BC101" s="1208"/>
      <c r="BD101" s="1208"/>
      <c r="BE101" s="1215"/>
      <c r="CM101" s="1206"/>
      <c r="CN101" s="1206"/>
      <c r="CO101" s="1206"/>
      <c r="CP101" s="1206"/>
    </row>
    <row r="102" spans="1:94" ht="15.75" customHeight="1">
      <c r="A102" s="1208"/>
      <c r="B102" s="2029" t="s">
        <v>2311</v>
      </c>
      <c r="C102" s="2030"/>
      <c r="D102" s="2030"/>
      <c r="E102" s="2030"/>
      <c r="F102" s="2030"/>
      <c r="G102" s="2030"/>
      <c r="H102" s="2030"/>
      <c r="I102" s="2030"/>
      <c r="J102" s="2030"/>
      <c r="K102" s="2030"/>
      <c r="L102" s="2030"/>
      <c r="M102" s="2030"/>
      <c r="N102" s="2030"/>
      <c r="O102" s="2030"/>
      <c r="P102" s="2030"/>
      <c r="Q102" s="2030"/>
      <c r="R102" s="2030"/>
      <c r="S102" s="2030"/>
      <c r="T102" s="2030"/>
      <c r="U102" s="2030"/>
      <c r="V102" s="2030"/>
      <c r="W102" s="2030"/>
      <c r="X102" s="2030"/>
      <c r="Y102" s="2030"/>
      <c r="Z102" s="2030"/>
      <c r="AA102" s="2030"/>
      <c r="AB102" s="2030"/>
      <c r="AC102" s="2030"/>
      <c r="AD102" s="2030"/>
      <c r="AE102" s="2030"/>
      <c r="AF102" s="2030"/>
      <c r="AG102" s="2030"/>
      <c r="AH102" s="2039"/>
      <c r="AI102" s="1208"/>
      <c r="AJ102" s="1208"/>
      <c r="AK102" s="1208"/>
      <c r="AL102" s="1208"/>
      <c r="AM102" s="1208"/>
      <c r="AN102" s="1208"/>
      <c r="AO102" s="1208"/>
      <c r="AP102" s="1208"/>
      <c r="AQ102" s="1208"/>
      <c r="AR102" s="1208"/>
      <c r="AS102" s="1208"/>
      <c r="AT102" s="1208"/>
      <c r="AU102" s="1208"/>
      <c r="AV102" s="1208"/>
      <c r="AW102" s="1208"/>
      <c r="AX102" s="1208"/>
      <c r="AY102" s="1208"/>
      <c r="AZ102" s="1208"/>
      <c r="BA102" s="1208"/>
      <c r="BB102" s="1208"/>
      <c r="BC102" s="1208"/>
      <c r="BD102" s="1208"/>
      <c r="BE102" s="1215"/>
      <c r="CM102" s="1206"/>
      <c r="CN102" s="1206"/>
      <c r="CO102" s="1206"/>
      <c r="CP102" s="1206"/>
    </row>
    <row r="103" spans="1:94" ht="16.5" customHeight="1">
      <c r="A103" s="1208"/>
      <c r="B103" s="2109"/>
      <c r="C103" s="2103"/>
      <c r="D103" s="2103"/>
      <c r="E103" s="2103"/>
      <c r="F103" s="2103"/>
      <c r="G103" s="2103"/>
      <c r="H103" s="2103"/>
      <c r="I103" s="2103" t="s">
        <v>2310</v>
      </c>
      <c r="J103" s="2103"/>
      <c r="K103" s="2103"/>
      <c r="L103" s="2103"/>
      <c r="M103" s="2103"/>
      <c r="N103" s="2103"/>
      <c r="O103" s="2103" t="s">
        <v>2287</v>
      </c>
      <c r="P103" s="2103"/>
      <c r="Q103" s="2103"/>
      <c r="R103" s="2103"/>
      <c r="S103" s="2103"/>
      <c r="T103" s="2103"/>
      <c r="U103" s="2103"/>
      <c r="V103" s="2139" t="s">
        <v>2286</v>
      </c>
      <c r="W103" s="2139"/>
      <c r="X103" s="2139"/>
      <c r="Y103" s="2139"/>
      <c r="Z103" s="2139"/>
      <c r="AA103" s="2139"/>
      <c r="AB103" s="2076" t="s">
        <v>2309</v>
      </c>
      <c r="AC103" s="2076"/>
      <c r="AD103" s="2076"/>
      <c r="AE103" s="2076"/>
      <c r="AF103" s="2076"/>
      <c r="AG103" s="2076"/>
      <c r="AH103" s="2140"/>
      <c r="AI103" s="1208"/>
      <c r="AJ103" s="1208"/>
      <c r="AK103" s="1208"/>
      <c r="AL103" s="1208"/>
      <c r="AM103" s="1208"/>
      <c r="AN103" s="1208"/>
      <c r="AO103" s="1208"/>
      <c r="AP103" s="1208"/>
      <c r="AQ103" s="1208"/>
      <c r="AR103" s="1208"/>
      <c r="AS103" s="1208"/>
      <c r="AT103" s="1208"/>
      <c r="AU103" s="1208"/>
      <c r="AV103" s="1208"/>
      <c r="AW103" s="1208"/>
      <c r="AX103" s="1208"/>
      <c r="AY103" s="1208"/>
      <c r="AZ103" s="1208"/>
      <c r="BA103" s="1208"/>
      <c r="BB103" s="1208"/>
      <c r="BC103" s="1208"/>
      <c r="BD103" s="1208"/>
      <c r="BE103" s="1215"/>
      <c r="CM103" s="1206"/>
      <c r="CN103" s="1206"/>
      <c r="CO103" s="1206"/>
      <c r="CP103" s="1206"/>
    </row>
    <row r="104" spans="1:94" ht="16.5" customHeight="1">
      <c r="A104" s="1208"/>
      <c r="B104" s="2109"/>
      <c r="C104" s="2103"/>
      <c r="D104" s="2103"/>
      <c r="E104" s="2103"/>
      <c r="F104" s="2103"/>
      <c r="G104" s="2103"/>
      <c r="H104" s="2103"/>
      <c r="I104" s="2103"/>
      <c r="J104" s="2103"/>
      <c r="K104" s="2103"/>
      <c r="L104" s="2103"/>
      <c r="M104" s="2103"/>
      <c r="N104" s="2103"/>
      <c r="O104" s="2103"/>
      <c r="P104" s="2103"/>
      <c r="Q104" s="2103"/>
      <c r="R104" s="2103"/>
      <c r="S104" s="2103"/>
      <c r="T104" s="2103"/>
      <c r="U104" s="2103"/>
      <c r="V104" s="2139"/>
      <c r="W104" s="2139"/>
      <c r="X104" s="2139"/>
      <c r="Y104" s="2139"/>
      <c r="Z104" s="2139"/>
      <c r="AA104" s="2139"/>
      <c r="AB104" s="2076"/>
      <c r="AC104" s="2076"/>
      <c r="AD104" s="2076"/>
      <c r="AE104" s="2076"/>
      <c r="AF104" s="2076"/>
      <c r="AG104" s="2076"/>
      <c r="AH104" s="2140"/>
      <c r="AI104" s="1208"/>
      <c r="AJ104" s="1208"/>
      <c r="AK104" s="1208"/>
      <c r="AL104" s="1208"/>
      <c r="AM104" s="1208"/>
      <c r="AN104" s="1208"/>
      <c r="AO104" s="1208"/>
      <c r="AP104" s="1208"/>
      <c r="AQ104" s="1208"/>
      <c r="AR104" s="1208"/>
      <c r="AS104" s="1208"/>
      <c r="AT104" s="1208"/>
      <c r="AU104" s="1208"/>
      <c r="AV104" s="1208"/>
      <c r="AW104" s="1208"/>
      <c r="AX104" s="1208"/>
      <c r="AY104" s="1208"/>
      <c r="AZ104" s="1208"/>
      <c r="BA104" s="1208"/>
      <c r="BB104" s="1208"/>
      <c r="BC104" s="1208"/>
      <c r="BD104" s="1208"/>
      <c r="BE104" s="1215"/>
      <c r="CM104" s="1206"/>
      <c r="CN104" s="1206"/>
      <c r="CO104" s="1206"/>
      <c r="CP104" s="1206"/>
    </row>
    <row r="105" spans="1:94" ht="15.75" customHeight="1">
      <c r="A105" s="1208"/>
      <c r="B105" s="2109" t="s">
        <v>2308</v>
      </c>
      <c r="C105" s="2103"/>
      <c r="D105" s="2103"/>
      <c r="E105" s="2103"/>
      <c r="F105" s="2103"/>
      <c r="G105" s="2103"/>
      <c r="H105" s="2103"/>
      <c r="I105" s="2079">
        <v>0</v>
      </c>
      <c r="J105" s="2079"/>
      <c r="K105" s="2079"/>
      <c r="L105" s="2079"/>
      <c r="M105" s="2079"/>
      <c r="N105" s="2079"/>
      <c r="O105" s="2079">
        <v>0</v>
      </c>
      <c r="P105" s="2079"/>
      <c r="Q105" s="2079"/>
      <c r="R105" s="2079"/>
      <c r="S105" s="2079"/>
      <c r="T105" s="2079"/>
      <c r="U105" s="2079"/>
      <c r="V105" s="2079">
        <v>0</v>
      </c>
      <c r="W105" s="2079"/>
      <c r="X105" s="2079"/>
      <c r="Y105" s="2079"/>
      <c r="Z105" s="2079"/>
      <c r="AA105" s="2079"/>
      <c r="AB105" s="2079">
        <v>0</v>
      </c>
      <c r="AC105" s="2079"/>
      <c r="AD105" s="2079"/>
      <c r="AE105" s="2079"/>
      <c r="AF105" s="2079"/>
      <c r="AG105" s="2079"/>
      <c r="AH105" s="2080"/>
      <c r="AI105" s="1208"/>
      <c r="AJ105" s="1208"/>
      <c r="AK105" s="1208"/>
      <c r="AL105" s="1208"/>
      <c r="AM105" s="1208"/>
      <c r="AN105" s="1208"/>
      <c r="AO105" s="1208"/>
      <c r="AP105" s="1208"/>
      <c r="AQ105" s="1208"/>
      <c r="AR105" s="1208"/>
      <c r="AS105" s="1208"/>
      <c r="AT105" s="1208"/>
      <c r="AU105" s="1208"/>
      <c r="AV105" s="1208"/>
      <c r="AW105" s="1208"/>
      <c r="AX105" s="1208"/>
      <c r="AY105" s="1208"/>
      <c r="AZ105" s="1208"/>
      <c r="BA105" s="1208"/>
      <c r="BB105" s="1208"/>
      <c r="BC105" s="1208"/>
      <c r="BD105" s="1208"/>
      <c r="BE105" s="1215"/>
      <c r="CM105" s="1206"/>
      <c r="CN105" s="1206"/>
      <c r="CO105" s="1206"/>
      <c r="CP105" s="1206"/>
    </row>
    <row r="106" spans="1:94" ht="15.75" customHeight="1">
      <c r="A106" s="1208"/>
      <c r="B106" s="2109" t="s">
        <v>2307</v>
      </c>
      <c r="C106" s="2103"/>
      <c r="D106" s="2103"/>
      <c r="E106" s="2103"/>
      <c r="F106" s="2103"/>
      <c r="G106" s="2103"/>
      <c r="H106" s="2103"/>
      <c r="I106" s="2079">
        <v>0</v>
      </c>
      <c r="J106" s="2079"/>
      <c r="K106" s="2079"/>
      <c r="L106" s="2079"/>
      <c r="M106" s="2079"/>
      <c r="N106" s="2079"/>
      <c r="O106" s="2079">
        <v>0</v>
      </c>
      <c r="P106" s="2079"/>
      <c r="Q106" s="2079"/>
      <c r="R106" s="2079"/>
      <c r="S106" s="2079"/>
      <c r="T106" s="2079"/>
      <c r="U106" s="2079"/>
      <c r="V106" s="2079">
        <v>0</v>
      </c>
      <c r="W106" s="2079"/>
      <c r="X106" s="2079"/>
      <c r="Y106" s="2079"/>
      <c r="Z106" s="2079"/>
      <c r="AA106" s="2079"/>
      <c r="AB106" s="2079">
        <v>0</v>
      </c>
      <c r="AC106" s="2079"/>
      <c r="AD106" s="2079"/>
      <c r="AE106" s="2079"/>
      <c r="AF106" s="2079"/>
      <c r="AG106" s="2079"/>
      <c r="AH106" s="2080"/>
      <c r="AI106" s="1208"/>
      <c r="AJ106" s="1208"/>
      <c r="AK106" s="1208"/>
      <c r="AL106" s="1208"/>
      <c r="AM106" s="1208"/>
      <c r="AN106" s="1208"/>
      <c r="AO106" s="1208"/>
      <c r="AP106" s="1208"/>
      <c r="AQ106" s="1208"/>
      <c r="AR106" s="1208"/>
      <c r="AS106" s="1208"/>
      <c r="AT106" s="1208"/>
      <c r="AU106" s="1208"/>
      <c r="AV106" s="1208"/>
      <c r="AW106" s="1208"/>
      <c r="AX106" s="1208"/>
      <c r="AY106" s="1208"/>
      <c r="AZ106" s="1208"/>
      <c r="BA106" s="1208"/>
      <c r="BB106" s="1208"/>
      <c r="BC106" s="1208"/>
      <c r="BD106" s="1208"/>
      <c r="BE106" s="1215"/>
      <c r="CM106" s="1206"/>
      <c r="CN106" s="1206"/>
      <c r="CO106" s="1206"/>
      <c r="CP106" s="1206"/>
    </row>
    <row r="107" spans="1:94" ht="15.75" customHeight="1" thickBot="1">
      <c r="A107" s="1208"/>
      <c r="B107" s="2137" t="s">
        <v>2306</v>
      </c>
      <c r="C107" s="2138"/>
      <c r="D107" s="2138"/>
      <c r="E107" s="2138"/>
      <c r="F107" s="2138"/>
      <c r="G107" s="2138"/>
      <c r="H107" s="2138"/>
      <c r="I107" s="2073">
        <v>0</v>
      </c>
      <c r="J107" s="2073"/>
      <c r="K107" s="2073"/>
      <c r="L107" s="2073"/>
      <c r="M107" s="2073"/>
      <c r="N107" s="2073"/>
      <c r="O107" s="2073">
        <v>0</v>
      </c>
      <c r="P107" s="2073"/>
      <c r="Q107" s="2073"/>
      <c r="R107" s="2073"/>
      <c r="S107" s="2073"/>
      <c r="T107" s="2073"/>
      <c r="U107" s="2073"/>
      <c r="V107" s="2073">
        <v>0</v>
      </c>
      <c r="W107" s="2073"/>
      <c r="X107" s="2073"/>
      <c r="Y107" s="2073"/>
      <c r="Z107" s="2073"/>
      <c r="AA107" s="2073"/>
      <c r="AB107" s="2073">
        <v>0</v>
      </c>
      <c r="AC107" s="2073"/>
      <c r="AD107" s="2073"/>
      <c r="AE107" s="2073"/>
      <c r="AF107" s="2073"/>
      <c r="AG107" s="2073"/>
      <c r="AH107" s="2074"/>
      <c r="AI107" s="1208"/>
      <c r="AJ107" s="1208"/>
      <c r="AK107" s="1208"/>
      <c r="AL107" s="1208"/>
      <c r="AM107" s="1208"/>
      <c r="AN107" s="1208"/>
      <c r="AO107" s="1208"/>
      <c r="AP107" s="1208"/>
      <c r="AQ107" s="1208"/>
      <c r="AR107" s="1208"/>
      <c r="AS107" s="1208"/>
      <c r="AT107" s="1208"/>
      <c r="AU107" s="1208"/>
      <c r="AV107" s="1208"/>
      <c r="AW107" s="1208"/>
      <c r="AX107" s="1208"/>
      <c r="AY107" s="1208"/>
      <c r="AZ107" s="1208"/>
      <c r="BA107" s="1208"/>
      <c r="BB107" s="1208"/>
      <c r="BC107" s="1208"/>
      <c r="BD107" s="1208"/>
      <c r="BE107" s="1215"/>
      <c r="CM107" s="1206"/>
      <c r="CN107" s="1206"/>
      <c r="CO107" s="1206"/>
      <c r="CP107" s="1206"/>
    </row>
    <row r="108" spans="1:94" ht="15.75" customHeight="1" thickBot="1">
      <c r="A108" s="1208"/>
      <c r="B108" s="1208"/>
      <c r="C108" s="1208"/>
      <c r="D108" s="1208"/>
      <c r="E108" s="1208"/>
      <c r="F108" s="1208"/>
      <c r="G108" s="1208"/>
      <c r="H108" s="1208"/>
      <c r="I108" s="1208"/>
      <c r="J108" s="1208"/>
      <c r="K108" s="1208"/>
      <c r="L108" s="1208"/>
      <c r="M108" s="1208"/>
      <c r="N108" s="1208"/>
      <c r="O108" s="1208"/>
      <c r="P108" s="1208"/>
      <c r="Q108" s="1208"/>
      <c r="R108" s="1208"/>
      <c r="S108" s="1208"/>
      <c r="T108" s="1208"/>
      <c r="U108" s="1208" t="s">
        <v>250</v>
      </c>
      <c r="V108" s="1208"/>
      <c r="W108" s="1208"/>
      <c r="X108" s="1208"/>
      <c r="Y108" s="1208"/>
      <c r="Z108" s="1208"/>
      <c r="AA108" s="1208"/>
      <c r="AB108" s="1208"/>
      <c r="AC108" s="1208"/>
      <c r="AD108" s="1208"/>
      <c r="AE108" s="1208"/>
      <c r="AF108" s="1208"/>
      <c r="AG108" s="1208"/>
      <c r="AH108" s="1208"/>
      <c r="AI108" s="1208"/>
      <c r="AJ108" s="1208"/>
      <c r="AK108" s="1208"/>
      <c r="AL108" s="1208"/>
      <c r="AM108" s="1208"/>
      <c r="AN108" s="1208"/>
      <c r="AO108" s="1208"/>
      <c r="AP108" s="1208"/>
      <c r="AQ108" s="1208"/>
      <c r="AR108" s="1208"/>
      <c r="AS108" s="1208"/>
      <c r="AT108" s="1208"/>
      <c r="AU108" s="1208"/>
      <c r="AV108" s="1208"/>
      <c r="AW108" s="1208"/>
      <c r="AX108" s="1208"/>
      <c r="AY108" s="1208"/>
      <c r="AZ108" s="1208"/>
      <c r="BA108" s="1208"/>
      <c r="BB108" s="1208"/>
      <c r="BC108" s="1208"/>
      <c r="BD108" s="1208"/>
      <c r="BE108" s="1215"/>
    </row>
    <row r="109" spans="1:94" ht="15.75" customHeight="1" thickBot="1">
      <c r="A109" s="1208"/>
      <c r="B109" s="1224" t="s">
        <v>2305</v>
      </c>
      <c r="C109" s="1230"/>
      <c r="D109" s="1230"/>
      <c r="E109" s="1230"/>
      <c r="F109" s="1230"/>
      <c r="G109" s="1230"/>
      <c r="H109" s="1230"/>
      <c r="I109" s="1230"/>
      <c r="J109" s="1230"/>
      <c r="K109" s="1230"/>
      <c r="L109" s="1230"/>
      <c r="M109" s="1230"/>
      <c r="N109" s="1230"/>
      <c r="O109" s="1230"/>
      <c r="P109" s="1230"/>
      <c r="Q109" s="1230"/>
      <c r="R109" s="1244"/>
      <c r="S109" s="1208"/>
      <c r="T109" s="1208"/>
      <c r="U109" s="1208"/>
      <c r="V109" s="1208"/>
      <c r="W109" s="1208"/>
      <c r="X109" s="1208"/>
      <c r="Y109" s="1208"/>
      <c r="Z109" s="1208"/>
      <c r="AA109" s="1208"/>
      <c r="AB109" s="1208"/>
      <c r="AC109" s="1208"/>
      <c r="AD109" s="1208"/>
      <c r="AE109" s="1208"/>
      <c r="AF109" s="1208"/>
      <c r="AG109" s="1208"/>
      <c r="AH109" s="1208"/>
      <c r="AI109" s="1208"/>
      <c r="AJ109" s="1208"/>
      <c r="AK109" s="1208"/>
      <c r="AL109" s="1208"/>
      <c r="AM109" s="1208"/>
      <c r="AN109" s="1208"/>
      <c r="AO109" s="1208"/>
      <c r="AP109" s="1208"/>
      <c r="AQ109" s="1208"/>
      <c r="AR109" s="1208"/>
      <c r="AS109" s="1208"/>
      <c r="AT109" s="1208"/>
      <c r="AU109" s="1208"/>
      <c r="AV109" s="1208"/>
      <c r="AW109" s="1208"/>
      <c r="AX109" s="1208"/>
      <c r="AY109" s="1208"/>
      <c r="AZ109" s="1208"/>
      <c r="BA109" s="1208"/>
      <c r="BB109" s="1208"/>
      <c r="BC109" s="1208"/>
      <c r="BD109" s="1208"/>
      <c r="BE109" s="1215"/>
    </row>
    <row r="110" spans="1:94" ht="15.75" customHeight="1">
      <c r="A110" s="1208"/>
      <c r="B110" s="1234" t="s">
        <v>2224</v>
      </c>
      <c r="C110" s="1234"/>
      <c r="D110" s="1241"/>
      <c r="E110" s="1242"/>
      <c r="F110" s="2100"/>
      <c r="G110" s="2101"/>
      <c r="H110" s="2101"/>
      <c r="I110" s="2101"/>
      <c r="J110" s="2101"/>
      <c r="K110" s="2101"/>
      <c r="L110" s="2101"/>
      <c r="M110" s="2101"/>
      <c r="N110" s="2101"/>
      <c r="O110" s="2101"/>
      <c r="P110" s="2101"/>
      <c r="Q110" s="2101"/>
      <c r="R110" s="2102"/>
      <c r="S110" s="1208"/>
      <c r="T110" s="1208"/>
      <c r="U110" s="1208"/>
      <c r="V110" s="1208"/>
      <c r="W110" s="1208"/>
      <c r="X110" s="1208"/>
      <c r="Y110" s="1208"/>
      <c r="Z110" s="1208"/>
      <c r="AA110" s="1208"/>
      <c r="AB110" s="1208"/>
      <c r="AC110" s="1208"/>
      <c r="AD110" s="1208"/>
      <c r="AE110" s="1208"/>
      <c r="AF110" s="1208"/>
      <c r="AG110" s="1208"/>
      <c r="AH110" s="1208"/>
      <c r="AI110" s="1208"/>
      <c r="AJ110" s="1208"/>
      <c r="AK110" s="1208"/>
      <c r="AL110" s="1208"/>
      <c r="AM110" s="1208"/>
      <c r="AN110" s="1208"/>
      <c r="AO110" s="1208"/>
      <c r="AP110" s="1208"/>
      <c r="AQ110" s="1208"/>
      <c r="AR110" s="1208"/>
      <c r="AS110" s="1208"/>
      <c r="AT110" s="1208"/>
      <c r="AU110" s="1208"/>
      <c r="AV110" s="1208"/>
      <c r="AW110" s="1208"/>
      <c r="AX110" s="1208"/>
      <c r="AY110" s="1208"/>
      <c r="AZ110" s="1208"/>
      <c r="BA110" s="1208"/>
      <c r="BB110" s="1208"/>
      <c r="BC110" s="1208"/>
      <c r="BD110" s="1208"/>
      <c r="BE110" s="1215"/>
    </row>
    <row r="111" spans="1:94" ht="15.75" customHeight="1" thickBot="1">
      <c r="A111" s="1208"/>
      <c r="B111" s="1208"/>
      <c r="C111" s="1208"/>
      <c r="D111" s="1208"/>
      <c r="E111" s="1208"/>
      <c r="F111" s="1208"/>
      <c r="G111" s="1208"/>
      <c r="H111" s="1208"/>
      <c r="I111" s="1208"/>
      <c r="J111" s="1208"/>
      <c r="K111" s="1208"/>
      <c r="L111" s="1208"/>
      <c r="M111" s="1208"/>
      <c r="N111" s="1208"/>
      <c r="O111" s="1208"/>
      <c r="P111" s="1208"/>
      <c r="Q111" s="1208"/>
      <c r="R111" s="1208"/>
      <c r="S111" s="1208"/>
      <c r="T111" s="1208"/>
      <c r="U111" s="1208"/>
      <c r="V111" s="1208"/>
      <c r="W111" s="1208"/>
      <c r="X111" s="1208"/>
      <c r="Y111" s="1208"/>
      <c r="Z111" s="1208"/>
      <c r="AA111" s="1208"/>
      <c r="AB111" s="1208"/>
      <c r="AC111" s="1208"/>
      <c r="AD111" s="1208"/>
      <c r="AE111" s="1208"/>
      <c r="AF111" s="1208"/>
      <c r="AG111" s="1208"/>
      <c r="AH111" s="1208"/>
      <c r="AI111" s="1208"/>
      <c r="AJ111" s="1208"/>
      <c r="AK111" s="1208"/>
      <c r="AL111" s="1208"/>
      <c r="AM111" s="1208"/>
      <c r="AN111" s="1208"/>
      <c r="AO111" s="1208"/>
      <c r="AP111" s="1208"/>
      <c r="AQ111" s="1208"/>
      <c r="AR111" s="1208"/>
      <c r="AS111" s="1208"/>
      <c r="AT111" s="1208"/>
      <c r="AU111" s="1208"/>
      <c r="AV111" s="1208"/>
      <c r="AW111" s="1208"/>
      <c r="AX111" s="1208"/>
      <c r="AY111" s="1208"/>
      <c r="AZ111" s="1208"/>
      <c r="BA111" s="1208"/>
      <c r="BB111" s="1208"/>
      <c r="BC111" s="1208"/>
      <c r="BD111" s="1208"/>
      <c r="BE111" s="1215"/>
    </row>
    <row r="112" spans="1:94" ht="15.75" customHeight="1">
      <c r="A112" s="1208"/>
      <c r="B112" s="2110" t="s">
        <v>2620</v>
      </c>
      <c r="C112" s="2111"/>
      <c r="D112" s="2111"/>
      <c r="E112" s="2111"/>
      <c r="F112" s="2111"/>
      <c r="G112" s="2111"/>
      <c r="H112" s="2111"/>
      <c r="I112" s="2111"/>
      <c r="J112" s="2111"/>
      <c r="K112" s="2111"/>
      <c r="L112" s="2111"/>
      <c r="M112" s="2111"/>
      <c r="N112" s="2111"/>
      <c r="O112" s="2111"/>
      <c r="P112" s="2111"/>
      <c r="Q112" s="2111"/>
      <c r="R112" s="2111"/>
      <c r="S112" s="2111"/>
      <c r="T112" s="2111"/>
      <c r="U112" s="2114" t="s">
        <v>545</v>
      </c>
      <c r="V112" s="2114"/>
      <c r="W112" s="2114"/>
      <c r="X112" s="2115"/>
      <c r="Y112" s="1208"/>
      <c r="Z112" s="1208"/>
      <c r="AA112" s="1208"/>
      <c r="AB112" s="1208"/>
      <c r="AC112" s="1208"/>
      <c r="AD112" s="1208"/>
      <c r="AE112" s="1208"/>
      <c r="AF112" s="1208"/>
      <c r="AG112" s="1208"/>
      <c r="AH112" s="1208"/>
      <c r="AI112" s="1208"/>
      <c r="AJ112" s="1208"/>
      <c r="AK112" s="1208"/>
      <c r="AL112" s="1208"/>
      <c r="AM112" s="1208"/>
      <c r="AN112" s="1208"/>
      <c r="AO112" s="1208"/>
      <c r="AP112" s="1208"/>
      <c r="AQ112" s="1208"/>
      <c r="AR112" s="1208"/>
      <c r="AS112" s="1208"/>
      <c r="AT112" s="1208"/>
      <c r="AU112" s="1208"/>
      <c r="AV112" s="1208"/>
      <c r="AW112" s="1208"/>
      <c r="AX112" s="1208"/>
      <c r="AY112" s="1208"/>
      <c r="AZ112" s="1208"/>
      <c r="BA112" s="1208"/>
      <c r="BB112" s="1208"/>
      <c r="BC112" s="1208"/>
      <c r="BD112" s="1208"/>
      <c r="BE112" s="1215"/>
    </row>
    <row r="113" spans="1:57" ht="15.75" customHeight="1">
      <c r="A113" s="1208"/>
      <c r="B113" s="2112"/>
      <c r="C113" s="2113"/>
      <c r="D113" s="2113"/>
      <c r="E113" s="2113"/>
      <c r="F113" s="2113"/>
      <c r="G113" s="2113"/>
      <c r="H113" s="2113"/>
      <c r="I113" s="2113"/>
      <c r="J113" s="2113"/>
      <c r="K113" s="2113"/>
      <c r="L113" s="2113"/>
      <c r="M113" s="2113"/>
      <c r="N113" s="2113"/>
      <c r="O113" s="2113"/>
      <c r="P113" s="2113"/>
      <c r="Q113" s="2113"/>
      <c r="R113" s="2113"/>
      <c r="S113" s="2113"/>
      <c r="T113" s="2113"/>
      <c r="U113" s="2116"/>
      <c r="V113" s="2116"/>
      <c r="W113" s="2116"/>
      <c r="X113" s="2117"/>
      <c r="Y113" s="1208"/>
      <c r="Z113" s="1208"/>
      <c r="AA113" s="1208"/>
      <c r="AB113" s="1208"/>
      <c r="AC113" s="1208"/>
      <c r="AD113" s="1208"/>
      <c r="AE113" s="1208"/>
      <c r="AF113" s="1208"/>
      <c r="AG113" s="1208"/>
      <c r="AH113" s="1208"/>
      <c r="AI113" s="1208"/>
      <c r="AJ113" s="1208"/>
      <c r="AK113" s="1208"/>
      <c r="AL113" s="1208"/>
      <c r="AM113" s="1208"/>
      <c r="AN113" s="1208"/>
      <c r="AO113" s="1208"/>
      <c r="AP113" s="1208"/>
      <c r="AQ113" s="1208"/>
      <c r="AR113" s="1208"/>
      <c r="AS113" s="1208"/>
      <c r="AT113" s="1208"/>
      <c r="AU113" s="1208"/>
      <c r="AV113" s="1208"/>
      <c r="AW113" s="1208"/>
      <c r="AX113" s="1208"/>
      <c r="AY113" s="1208"/>
      <c r="AZ113" s="1208"/>
      <c r="BA113" s="1208"/>
      <c r="BB113" s="1208"/>
      <c r="BC113" s="1208"/>
      <c r="BD113" s="1208"/>
      <c r="BE113" s="1215"/>
    </row>
    <row r="114" spans="1:57" ht="15.75" customHeight="1">
      <c r="A114" s="1208"/>
      <c r="B114" s="2112"/>
      <c r="C114" s="2113"/>
      <c r="D114" s="2113"/>
      <c r="E114" s="2113"/>
      <c r="F114" s="2113"/>
      <c r="G114" s="2113"/>
      <c r="H114" s="2113"/>
      <c r="I114" s="2113"/>
      <c r="J114" s="2113"/>
      <c r="K114" s="2113"/>
      <c r="L114" s="2113"/>
      <c r="M114" s="2113"/>
      <c r="N114" s="2113"/>
      <c r="O114" s="2113"/>
      <c r="P114" s="2113"/>
      <c r="Q114" s="2113"/>
      <c r="R114" s="2113"/>
      <c r="S114" s="2113"/>
      <c r="T114" s="2113"/>
      <c r="U114" s="2116"/>
      <c r="V114" s="2116"/>
      <c r="W114" s="2116"/>
      <c r="X114" s="2117"/>
      <c r="Y114" s="1208"/>
      <c r="Z114" s="1208"/>
      <c r="AA114" s="1208"/>
      <c r="AB114" s="1208"/>
      <c r="AC114" s="1208"/>
      <c r="AD114" s="1208"/>
      <c r="AE114" s="1208"/>
      <c r="AF114" s="1208"/>
      <c r="AG114" s="1208"/>
      <c r="AH114" s="1208"/>
      <c r="AI114" s="1208"/>
      <c r="AJ114" s="1208"/>
      <c r="AK114" s="1208"/>
      <c r="AL114" s="1208"/>
      <c r="AM114" s="1208"/>
      <c r="AN114" s="1208"/>
      <c r="AO114" s="1208"/>
      <c r="AP114" s="1208"/>
      <c r="AQ114" s="1208"/>
      <c r="AR114" s="1208"/>
      <c r="AS114" s="1208"/>
      <c r="AT114" s="1208"/>
      <c r="AU114" s="1208"/>
      <c r="AV114" s="1208"/>
      <c r="AW114" s="1208"/>
      <c r="AX114" s="1208"/>
      <c r="AY114" s="1208"/>
      <c r="AZ114" s="1208"/>
      <c r="BA114" s="1208"/>
      <c r="BB114" s="1208"/>
      <c r="BC114" s="1208"/>
      <c r="BD114" s="1208"/>
      <c r="BE114" s="1215"/>
    </row>
    <row r="115" spans="1:57" ht="15.75" customHeight="1">
      <c r="A115" s="1208"/>
      <c r="B115" s="2112"/>
      <c r="C115" s="2113"/>
      <c r="D115" s="2113"/>
      <c r="E115" s="2113"/>
      <c r="F115" s="2113"/>
      <c r="G115" s="2113"/>
      <c r="H115" s="2113"/>
      <c r="I115" s="2113"/>
      <c r="J115" s="2113"/>
      <c r="K115" s="2113"/>
      <c r="L115" s="2113"/>
      <c r="M115" s="2113"/>
      <c r="N115" s="2113"/>
      <c r="O115" s="2113"/>
      <c r="P115" s="2113"/>
      <c r="Q115" s="2113"/>
      <c r="R115" s="2113"/>
      <c r="S115" s="2113"/>
      <c r="T115" s="2113"/>
      <c r="U115" s="2116"/>
      <c r="V115" s="2116"/>
      <c r="W115" s="2116"/>
      <c r="X115" s="2117"/>
      <c r="Y115" s="1208"/>
      <c r="Z115" s="1208"/>
      <c r="AA115" s="1208"/>
      <c r="AB115" s="1208"/>
      <c r="AC115" s="1208"/>
      <c r="AD115" s="1208"/>
      <c r="AE115" s="1208"/>
      <c r="AF115" s="1208"/>
      <c r="AG115" s="1208"/>
      <c r="AH115" s="1208"/>
      <c r="AI115" s="1208"/>
      <c r="AJ115" s="1208"/>
      <c r="AK115" s="1208"/>
      <c r="AL115" s="1208"/>
      <c r="AM115" s="1208"/>
      <c r="AN115" s="1208"/>
      <c r="AO115" s="1208"/>
      <c r="AP115" s="1208"/>
      <c r="AQ115" s="1208"/>
      <c r="AR115" s="1208"/>
      <c r="AS115" s="1208"/>
      <c r="AT115" s="1208"/>
      <c r="AU115" s="1208"/>
      <c r="AV115" s="1208"/>
      <c r="AW115" s="1208"/>
      <c r="AX115" s="1208"/>
      <c r="AY115" s="1208"/>
      <c r="AZ115" s="1208"/>
      <c r="BA115" s="1208"/>
      <c r="BB115" s="1208"/>
      <c r="BC115" s="1208"/>
      <c r="BD115" s="1208"/>
      <c r="BE115" s="1215"/>
    </row>
    <row r="116" spans="1:57" ht="15.75" customHeight="1">
      <c r="A116" s="1208"/>
      <c r="B116" s="2118" t="s">
        <v>2620</v>
      </c>
      <c r="C116" s="2119"/>
      <c r="D116" s="2119"/>
      <c r="E116" s="2119"/>
      <c r="F116" s="2119"/>
      <c r="G116" s="2119"/>
      <c r="H116" s="2119"/>
      <c r="I116" s="2119"/>
      <c r="J116" s="2119"/>
      <c r="K116" s="2119"/>
      <c r="L116" s="2119"/>
      <c r="M116" s="2119"/>
      <c r="N116" s="2119"/>
      <c r="O116" s="2119"/>
      <c r="P116" s="2119"/>
      <c r="Q116" s="2119"/>
      <c r="R116" s="2119"/>
      <c r="S116" s="2119"/>
      <c r="T116" s="2119"/>
      <c r="U116" s="2122" t="s">
        <v>545</v>
      </c>
      <c r="V116" s="2122"/>
      <c r="W116" s="2122"/>
      <c r="X116" s="2123"/>
      <c r="Y116" s="1208"/>
      <c r="Z116" s="1208"/>
      <c r="AA116" s="1208"/>
      <c r="AB116" s="1208"/>
      <c r="AC116" s="1208"/>
      <c r="AD116" s="1208"/>
      <c r="AE116" s="1208"/>
      <c r="AF116" s="1208"/>
      <c r="AG116" s="1208"/>
      <c r="AH116" s="1208"/>
      <c r="AI116" s="1208"/>
      <c r="AJ116" s="1208"/>
      <c r="AK116" s="1208"/>
      <c r="AL116" s="1208"/>
      <c r="AM116" s="1208"/>
      <c r="AN116" s="1208"/>
      <c r="AO116" s="1208"/>
      <c r="AP116" s="1208"/>
      <c r="AQ116" s="1208"/>
      <c r="AR116" s="1208"/>
      <c r="AS116" s="1208"/>
      <c r="AT116" s="1208"/>
      <c r="AU116" s="1208"/>
      <c r="AV116" s="1208"/>
      <c r="AW116" s="1208"/>
      <c r="AX116" s="1208"/>
      <c r="AY116" s="1208"/>
      <c r="AZ116" s="1208"/>
      <c r="BA116" s="1208"/>
      <c r="BB116" s="1208"/>
      <c r="BC116" s="1208"/>
      <c r="BD116" s="1208"/>
      <c r="BE116" s="1215"/>
    </row>
    <row r="117" spans="1:57" ht="15.75" customHeight="1" thickBot="1">
      <c r="A117" s="1208"/>
      <c r="B117" s="2120"/>
      <c r="C117" s="2121"/>
      <c r="D117" s="2121"/>
      <c r="E117" s="2121"/>
      <c r="F117" s="2121"/>
      <c r="G117" s="2121"/>
      <c r="H117" s="2121"/>
      <c r="I117" s="2121"/>
      <c r="J117" s="2121"/>
      <c r="K117" s="2121"/>
      <c r="L117" s="2121"/>
      <c r="M117" s="2121"/>
      <c r="N117" s="2121"/>
      <c r="O117" s="2121"/>
      <c r="P117" s="2121"/>
      <c r="Q117" s="2121"/>
      <c r="R117" s="2121"/>
      <c r="S117" s="2121"/>
      <c r="T117" s="2121"/>
      <c r="U117" s="2124"/>
      <c r="V117" s="2124"/>
      <c r="W117" s="2124"/>
      <c r="X117" s="2125"/>
      <c r="Y117" s="1208"/>
      <c r="Z117" s="1208"/>
      <c r="AA117" s="1208"/>
      <c r="AB117" s="1208"/>
      <c r="AC117" s="1208"/>
      <c r="AD117" s="1208"/>
      <c r="AE117" s="1208"/>
      <c r="AF117" s="1208"/>
      <c r="AG117" s="1208"/>
      <c r="AH117" s="1208"/>
      <c r="AI117" s="1208"/>
      <c r="AJ117" s="1208"/>
      <c r="AK117" s="1208"/>
      <c r="AL117" s="1208"/>
      <c r="AM117" s="1208"/>
      <c r="AN117" s="1208"/>
      <c r="AO117" s="1208"/>
      <c r="AP117" s="1208"/>
      <c r="AQ117" s="1208"/>
      <c r="AR117" s="1208"/>
      <c r="AS117" s="1208"/>
      <c r="AT117" s="1208"/>
      <c r="AU117" s="1208"/>
      <c r="AV117" s="1208"/>
      <c r="AW117" s="1208"/>
      <c r="AX117" s="1208"/>
      <c r="AY117" s="1208"/>
      <c r="AZ117" s="1208"/>
      <c r="BA117" s="1208"/>
      <c r="BB117" s="1208"/>
      <c r="BC117" s="1208"/>
      <c r="BD117" s="1208"/>
      <c r="BE117" s="1215"/>
    </row>
    <row r="118" spans="1:57" ht="15.75" customHeight="1" thickBot="1">
      <c r="A118" s="1208"/>
      <c r="B118" s="1208"/>
      <c r="C118" s="1208"/>
      <c r="D118" s="1208"/>
      <c r="E118" s="1208"/>
      <c r="F118" s="1208"/>
      <c r="G118" s="1208"/>
      <c r="H118" s="1208"/>
      <c r="I118" s="1208"/>
      <c r="J118" s="1208"/>
      <c r="K118" s="1208"/>
      <c r="L118" s="1208"/>
      <c r="M118" s="1208"/>
      <c r="N118" s="1208"/>
      <c r="O118" s="1208"/>
      <c r="P118" s="1208"/>
      <c r="Q118" s="1208"/>
      <c r="R118" s="1208"/>
      <c r="S118" s="1208"/>
      <c r="T118" s="1208"/>
      <c r="U118" s="1208"/>
      <c r="V118" s="1208"/>
      <c r="W118" s="1208"/>
      <c r="X118" s="1208"/>
      <c r="Y118" s="1208"/>
      <c r="Z118" s="1208"/>
      <c r="AA118" s="1208"/>
      <c r="AB118" s="1208"/>
      <c r="AC118" s="1208"/>
      <c r="AD118" s="1208"/>
      <c r="AE118" s="1208"/>
      <c r="AF118" s="1208"/>
      <c r="AG118" s="1208"/>
      <c r="AH118" s="1208"/>
      <c r="AI118" s="1208"/>
      <c r="AJ118" s="1208"/>
      <c r="AK118" s="1208"/>
      <c r="AL118" s="1208"/>
      <c r="AM118" s="1208"/>
      <c r="AN118" s="1208"/>
      <c r="AO118" s="1208"/>
      <c r="AP118" s="1208"/>
      <c r="AQ118" s="1208"/>
      <c r="AR118" s="1208"/>
      <c r="AS118" s="1208"/>
      <c r="AT118" s="1208"/>
      <c r="AU118" s="1208"/>
      <c r="AV118" s="1208"/>
      <c r="AW118" s="1208"/>
      <c r="AX118" s="1208"/>
      <c r="AY118" s="1208"/>
      <c r="AZ118" s="1208"/>
      <c r="BA118" s="1208"/>
      <c r="BB118" s="1208"/>
      <c r="BC118" s="1208"/>
      <c r="BD118" s="1208"/>
      <c r="BE118" s="1215"/>
    </row>
    <row r="119" spans="1:57" ht="15.75" customHeight="1" thickBot="1">
      <c r="A119" s="1208"/>
      <c r="B119" s="1231" t="s">
        <v>2304</v>
      </c>
      <c r="C119" s="1226"/>
      <c r="D119" s="1226"/>
      <c r="E119" s="1226"/>
      <c r="F119" s="1226"/>
      <c r="G119" s="1226"/>
      <c r="H119" s="1226"/>
      <c r="I119" s="1226"/>
      <c r="J119" s="1226"/>
      <c r="K119" s="1226"/>
      <c r="L119" s="1226"/>
      <c r="M119" s="1226"/>
      <c r="N119" s="1226"/>
      <c r="O119" s="1226"/>
      <c r="P119" s="1226"/>
      <c r="Q119" s="1226"/>
      <c r="R119" s="1227"/>
      <c r="S119" s="1208"/>
      <c r="T119" s="1208"/>
      <c r="U119" s="1208"/>
      <c r="V119" s="1208"/>
      <c r="W119" s="1208"/>
      <c r="X119" s="1208"/>
      <c r="Y119" s="1208"/>
      <c r="Z119" s="1208"/>
      <c r="AA119" s="1208"/>
      <c r="AB119" s="1208"/>
      <c r="AC119" s="1208"/>
      <c r="AD119" s="1208"/>
      <c r="AE119" s="1208"/>
      <c r="AF119" s="1208"/>
      <c r="AG119" s="1208"/>
      <c r="AH119" s="1208"/>
      <c r="AI119" s="1208"/>
      <c r="AJ119" s="1208"/>
      <c r="AK119" s="1208"/>
      <c r="AL119" s="1208"/>
      <c r="AM119" s="1208"/>
      <c r="AN119" s="1208"/>
      <c r="AO119" s="1208"/>
      <c r="AP119" s="1208"/>
      <c r="AQ119" s="1208"/>
      <c r="AR119" s="1208"/>
      <c r="AS119" s="1208"/>
      <c r="AT119" s="1208"/>
      <c r="AU119" s="1208"/>
      <c r="AV119" s="1208"/>
      <c r="AW119" s="1208"/>
      <c r="AX119" s="1208"/>
      <c r="AY119" s="1208"/>
      <c r="AZ119" s="1208"/>
      <c r="BA119" s="1208"/>
      <c r="BB119" s="1208"/>
      <c r="BC119" s="1208"/>
      <c r="BD119" s="1208"/>
      <c r="BE119" s="1215"/>
    </row>
    <row r="120" spans="1:57" ht="15.75" customHeight="1" thickBot="1">
      <c r="A120" s="1208"/>
      <c r="B120" s="1208"/>
      <c r="C120" s="1208"/>
      <c r="D120" s="1208"/>
      <c r="E120" s="1208"/>
      <c r="F120" s="1208"/>
      <c r="G120" s="1208"/>
      <c r="H120" s="1208"/>
      <c r="I120" s="1208"/>
      <c r="J120" s="1208"/>
      <c r="K120" s="1208"/>
      <c r="L120" s="1208"/>
      <c r="M120" s="1208"/>
      <c r="N120" s="1208"/>
      <c r="O120" s="1208"/>
      <c r="P120" s="1243"/>
      <c r="Q120" s="1208"/>
      <c r="R120" s="1208"/>
      <c r="S120" s="1208"/>
      <c r="T120" s="1208"/>
      <c r="U120" s="1208"/>
      <c r="V120" s="1208"/>
      <c r="W120" s="1208"/>
      <c r="X120" s="2128" t="s">
        <v>2303</v>
      </c>
      <c r="Y120" s="2129"/>
      <c r="Z120" s="2129"/>
      <c r="AA120" s="2129"/>
      <c r="AB120" s="2129"/>
      <c r="AC120" s="2129"/>
      <c r="AD120" s="2129"/>
      <c r="AE120" s="2129"/>
      <c r="AF120" s="2129"/>
      <c r="AG120" s="2129"/>
      <c r="AH120" s="2129"/>
      <c r="AI120" s="2129"/>
      <c r="AJ120" s="2129"/>
      <c r="AK120" s="2129"/>
      <c r="AL120" s="2129"/>
      <c r="AM120" s="2129"/>
      <c r="AN120" s="2129"/>
      <c r="AO120" s="2129"/>
      <c r="AP120" s="2129"/>
      <c r="AQ120" s="2129"/>
      <c r="AR120" s="2129"/>
      <c r="AS120" s="2129"/>
      <c r="AT120" s="2129"/>
      <c r="AU120" s="2129"/>
      <c r="AV120" s="2129"/>
      <c r="AW120" s="2129"/>
      <c r="AX120" s="2129"/>
      <c r="AY120" s="2129"/>
      <c r="AZ120" s="2129"/>
      <c r="BA120" s="2129"/>
      <c r="BB120" s="2129"/>
      <c r="BC120" s="2129"/>
      <c r="BD120" s="2130"/>
      <c r="BE120" s="1215"/>
    </row>
    <row r="121" spans="1:57" ht="15.75" customHeight="1">
      <c r="A121" s="1208"/>
      <c r="B121" s="2134" t="s">
        <v>1566</v>
      </c>
      <c r="C121" s="2135"/>
      <c r="D121" s="2135"/>
      <c r="E121" s="2135"/>
      <c r="F121" s="2135"/>
      <c r="G121" s="2135"/>
      <c r="H121" s="2135"/>
      <c r="I121" s="2135"/>
      <c r="J121" s="2135"/>
      <c r="K121" s="2135"/>
      <c r="L121" s="2135"/>
      <c r="M121" s="2135"/>
      <c r="N121" s="2135"/>
      <c r="O121" s="2135"/>
      <c r="P121" s="2135"/>
      <c r="Q121" s="2135"/>
      <c r="R121" s="2135"/>
      <c r="S121" s="2135"/>
      <c r="T121" s="2135"/>
      <c r="U121" s="2136"/>
      <c r="V121" s="1208"/>
      <c r="W121" s="1208"/>
      <c r="X121" s="2131"/>
      <c r="Y121" s="2132"/>
      <c r="Z121" s="2132"/>
      <c r="AA121" s="2132"/>
      <c r="AB121" s="2132"/>
      <c r="AC121" s="2132"/>
      <c r="AD121" s="2132"/>
      <c r="AE121" s="2132"/>
      <c r="AF121" s="2132"/>
      <c r="AG121" s="2132"/>
      <c r="AH121" s="2132"/>
      <c r="AI121" s="2132"/>
      <c r="AJ121" s="2132"/>
      <c r="AK121" s="2132"/>
      <c r="AL121" s="2132"/>
      <c r="AM121" s="2132"/>
      <c r="AN121" s="2132"/>
      <c r="AO121" s="2132"/>
      <c r="AP121" s="2132"/>
      <c r="AQ121" s="2132"/>
      <c r="AR121" s="2132"/>
      <c r="AS121" s="2132"/>
      <c r="AT121" s="2132"/>
      <c r="AU121" s="2132"/>
      <c r="AV121" s="2132"/>
      <c r="AW121" s="2132"/>
      <c r="AX121" s="2132"/>
      <c r="AY121" s="2132"/>
      <c r="AZ121" s="2132"/>
      <c r="BA121" s="2132"/>
      <c r="BB121" s="2132"/>
      <c r="BC121" s="2132"/>
      <c r="BD121" s="2133"/>
      <c r="BE121" s="1215"/>
    </row>
    <row r="122" spans="1:57" ht="15.75" customHeight="1">
      <c r="A122" s="1208"/>
      <c r="B122" s="2043"/>
      <c r="C122" s="2044"/>
      <c r="D122" s="2044"/>
      <c r="E122" s="2044"/>
      <c r="F122" s="2044"/>
      <c r="G122" s="2044"/>
      <c r="H122" s="2044"/>
      <c r="I122" s="2103" t="s">
        <v>2302</v>
      </c>
      <c r="J122" s="2103"/>
      <c r="K122" s="2103"/>
      <c r="L122" s="2103"/>
      <c r="M122" s="2103"/>
      <c r="N122" s="2103"/>
      <c r="O122" s="2104" t="s">
        <v>2301</v>
      </c>
      <c r="P122" s="2104"/>
      <c r="Q122" s="2104"/>
      <c r="R122" s="2104"/>
      <c r="S122" s="2104"/>
      <c r="T122" s="2104"/>
      <c r="U122" s="2105"/>
      <c r="V122" s="1208"/>
      <c r="W122" s="1208"/>
      <c r="X122" s="2046" t="s">
        <v>2271</v>
      </c>
      <c r="Y122" s="2047"/>
      <c r="Z122" s="2047"/>
      <c r="AA122" s="2047"/>
      <c r="AB122" s="2047"/>
      <c r="AC122" s="2047"/>
      <c r="AD122" s="2047"/>
      <c r="AE122" s="2047"/>
      <c r="AF122" s="2047"/>
      <c r="AG122" s="2047"/>
      <c r="AH122" s="2047"/>
      <c r="AI122" s="2047"/>
      <c r="AJ122" s="2047"/>
      <c r="AK122" s="2047"/>
      <c r="AL122" s="2047"/>
      <c r="AM122" s="2047"/>
      <c r="AN122" s="2047"/>
      <c r="AO122" s="2047"/>
      <c r="AP122" s="2047"/>
      <c r="AQ122" s="2047"/>
      <c r="AR122" s="2047"/>
      <c r="AS122" s="2047"/>
      <c r="AT122" s="2047"/>
      <c r="AU122" s="2047"/>
      <c r="AV122" s="2047"/>
      <c r="AW122" s="2047"/>
      <c r="AX122" s="2047"/>
      <c r="AY122" s="2047"/>
      <c r="AZ122" s="2047"/>
      <c r="BA122" s="2047"/>
      <c r="BB122" s="2047"/>
      <c r="BC122" s="2047"/>
      <c r="BD122" s="2048"/>
      <c r="BE122" s="1215"/>
    </row>
    <row r="123" spans="1:57" ht="15.75" customHeight="1">
      <c r="A123" s="1208"/>
      <c r="B123" s="2077" t="s">
        <v>2285</v>
      </c>
      <c r="C123" s="2078"/>
      <c r="D123" s="2078"/>
      <c r="E123" s="2078"/>
      <c r="F123" s="2078"/>
      <c r="G123" s="2078"/>
      <c r="H123" s="2078"/>
      <c r="I123" s="2079">
        <v>0</v>
      </c>
      <c r="J123" s="2079"/>
      <c r="K123" s="2079"/>
      <c r="L123" s="2079"/>
      <c r="M123" s="2079"/>
      <c r="N123" s="2079"/>
      <c r="O123" s="2079">
        <v>0</v>
      </c>
      <c r="P123" s="2079"/>
      <c r="Q123" s="2079"/>
      <c r="R123" s="2079"/>
      <c r="S123" s="2079"/>
      <c r="T123" s="2079"/>
      <c r="U123" s="2080"/>
      <c r="V123" s="1208"/>
      <c r="W123" s="1208"/>
      <c r="X123" s="2046"/>
      <c r="Y123" s="2047"/>
      <c r="Z123" s="2047"/>
      <c r="AA123" s="2047"/>
      <c r="AB123" s="2047"/>
      <c r="AC123" s="2047"/>
      <c r="AD123" s="2047"/>
      <c r="AE123" s="2047"/>
      <c r="AF123" s="2047"/>
      <c r="AG123" s="2047"/>
      <c r="AH123" s="2047"/>
      <c r="AI123" s="2047"/>
      <c r="AJ123" s="2047"/>
      <c r="AK123" s="2047"/>
      <c r="AL123" s="2047"/>
      <c r="AM123" s="2047"/>
      <c r="AN123" s="2047"/>
      <c r="AO123" s="2047"/>
      <c r="AP123" s="2047"/>
      <c r="AQ123" s="2047"/>
      <c r="AR123" s="2047"/>
      <c r="AS123" s="2047"/>
      <c r="AT123" s="2047"/>
      <c r="AU123" s="2047"/>
      <c r="AV123" s="2047"/>
      <c r="AW123" s="2047"/>
      <c r="AX123" s="2047"/>
      <c r="AY123" s="2047"/>
      <c r="AZ123" s="2047"/>
      <c r="BA123" s="2047"/>
      <c r="BB123" s="2047"/>
      <c r="BC123" s="2047"/>
      <c r="BD123" s="2048"/>
      <c r="BE123" s="1215"/>
    </row>
    <row r="124" spans="1:57" ht="15.75" customHeight="1" thickBot="1">
      <c r="A124" s="1208"/>
      <c r="B124" s="2071" t="s">
        <v>2284</v>
      </c>
      <c r="C124" s="2072"/>
      <c r="D124" s="2072"/>
      <c r="E124" s="2072"/>
      <c r="F124" s="2072"/>
      <c r="G124" s="2072"/>
      <c r="H124" s="2072"/>
      <c r="I124" s="2073">
        <v>0</v>
      </c>
      <c r="J124" s="2073"/>
      <c r="K124" s="2073"/>
      <c r="L124" s="2073"/>
      <c r="M124" s="2073"/>
      <c r="N124" s="2073"/>
      <c r="O124" s="2126"/>
      <c r="P124" s="2126"/>
      <c r="Q124" s="2126"/>
      <c r="R124" s="2126"/>
      <c r="S124" s="2126"/>
      <c r="T124" s="2126"/>
      <c r="U124" s="2127"/>
      <c r="V124" s="1208"/>
      <c r="W124" s="1208"/>
      <c r="X124" s="2046"/>
      <c r="Y124" s="2047"/>
      <c r="Z124" s="2047"/>
      <c r="AA124" s="2047"/>
      <c r="AB124" s="2047"/>
      <c r="AC124" s="2047"/>
      <c r="AD124" s="2047"/>
      <c r="AE124" s="2047"/>
      <c r="AF124" s="2047"/>
      <c r="AG124" s="2047"/>
      <c r="AH124" s="2047"/>
      <c r="AI124" s="2047"/>
      <c r="AJ124" s="2047"/>
      <c r="AK124" s="2047"/>
      <c r="AL124" s="2047"/>
      <c r="AM124" s="2047"/>
      <c r="AN124" s="2047"/>
      <c r="AO124" s="2047"/>
      <c r="AP124" s="2047"/>
      <c r="AQ124" s="2047"/>
      <c r="AR124" s="2047"/>
      <c r="AS124" s="2047"/>
      <c r="AT124" s="2047"/>
      <c r="AU124" s="2047"/>
      <c r="AV124" s="2047"/>
      <c r="AW124" s="2047"/>
      <c r="AX124" s="2047"/>
      <c r="AY124" s="2047"/>
      <c r="AZ124" s="2047"/>
      <c r="BA124" s="2047"/>
      <c r="BB124" s="2047"/>
      <c r="BC124" s="2047"/>
      <c r="BD124" s="2048"/>
      <c r="BE124" s="1215"/>
    </row>
    <row r="125" spans="1:57" ht="15.75" customHeight="1" thickBot="1">
      <c r="A125" s="1208"/>
      <c r="B125" s="1208"/>
      <c r="C125" s="1208"/>
      <c r="D125" s="1208"/>
      <c r="E125" s="1208"/>
      <c r="F125" s="1208"/>
      <c r="G125" s="1208"/>
      <c r="H125" s="1208"/>
      <c r="I125" s="1208"/>
      <c r="J125" s="1208"/>
      <c r="K125" s="1208"/>
      <c r="L125" s="1208"/>
      <c r="M125" s="1208"/>
      <c r="N125" s="1208"/>
      <c r="O125" s="1208"/>
      <c r="P125" s="1208"/>
      <c r="Q125" s="1208"/>
      <c r="R125" s="1208"/>
      <c r="S125" s="1208"/>
      <c r="T125" s="1208"/>
      <c r="U125" s="1208"/>
      <c r="V125" s="1208"/>
      <c r="W125" s="1208"/>
      <c r="X125" s="2046"/>
      <c r="Y125" s="2047"/>
      <c r="Z125" s="2047"/>
      <c r="AA125" s="2047"/>
      <c r="AB125" s="2047"/>
      <c r="AC125" s="2047"/>
      <c r="AD125" s="2047"/>
      <c r="AE125" s="2047"/>
      <c r="AF125" s="2047"/>
      <c r="AG125" s="2047"/>
      <c r="AH125" s="2047"/>
      <c r="AI125" s="2047"/>
      <c r="AJ125" s="2047"/>
      <c r="AK125" s="2047"/>
      <c r="AL125" s="2047"/>
      <c r="AM125" s="2047"/>
      <c r="AN125" s="2047"/>
      <c r="AO125" s="2047"/>
      <c r="AP125" s="2047"/>
      <c r="AQ125" s="2047"/>
      <c r="AR125" s="2047"/>
      <c r="AS125" s="2047"/>
      <c r="AT125" s="2047"/>
      <c r="AU125" s="2047"/>
      <c r="AV125" s="2047"/>
      <c r="AW125" s="2047"/>
      <c r="AX125" s="2047"/>
      <c r="AY125" s="2047"/>
      <c r="AZ125" s="2047"/>
      <c r="BA125" s="2047"/>
      <c r="BB125" s="2047"/>
      <c r="BC125" s="2047"/>
      <c r="BD125" s="2048"/>
      <c r="BE125" s="1215"/>
    </row>
    <row r="126" spans="1:57" ht="15.75" customHeight="1" thickBot="1">
      <c r="A126" s="1208"/>
      <c r="B126" s="1231" t="s">
        <v>2300</v>
      </c>
      <c r="C126" s="1232"/>
      <c r="D126" s="1232"/>
      <c r="E126" s="1232"/>
      <c r="F126" s="1232"/>
      <c r="G126" s="1232"/>
      <c r="H126" s="1232"/>
      <c r="I126" s="1232"/>
      <c r="J126" s="1232"/>
      <c r="K126" s="1232"/>
      <c r="L126" s="1232"/>
      <c r="M126" s="1232"/>
      <c r="N126" s="1232"/>
      <c r="O126" s="1232"/>
      <c r="P126" s="1233"/>
      <c r="Q126" s="1216" t="s">
        <v>250</v>
      </c>
      <c r="R126" s="1216" t="s">
        <v>250</v>
      </c>
      <c r="S126" s="1208"/>
      <c r="T126" s="1208"/>
      <c r="U126" s="1208"/>
      <c r="V126" s="1208" t="s">
        <v>250</v>
      </c>
      <c r="W126" s="1208"/>
      <c r="X126" s="2046"/>
      <c r="Y126" s="2047"/>
      <c r="Z126" s="2047"/>
      <c r="AA126" s="2047"/>
      <c r="AB126" s="2047"/>
      <c r="AC126" s="2047"/>
      <c r="AD126" s="2047"/>
      <c r="AE126" s="2047"/>
      <c r="AF126" s="2047"/>
      <c r="AG126" s="2047"/>
      <c r="AH126" s="2047"/>
      <c r="AI126" s="2047"/>
      <c r="AJ126" s="2047"/>
      <c r="AK126" s="2047"/>
      <c r="AL126" s="2047"/>
      <c r="AM126" s="2047"/>
      <c r="AN126" s="2047"/>
      <c r="AO126" s="2047"/>
      <c r="AP126" s="2047"/>
      <c r="AQ126" s="2047"/>
      <c r="AR126" s="2047"/>
      <c r="AS126" s="2047"/>
      <c r="AT126" s="2047"/>
      <c r="AU126" s="2047"/>
      <c r="AV126" s="2047"/>
      <c r="AW126" s="2047"/>
      <c r="AX126" s="2047"/>
      <c r="AY126" s="2047"/>
      <c r="AZ126" s="2047"/>
      <c r="BA126" s="2047"/>
      <c r="BB126" s="2047"/>
      <c r="BC126" s="2047"/>
      <c r="BD126" s="2048"/>
      <c r="BE126" s="1215"/>
    </row>
    <row r="127" spans="1:57" ht="15.75" customHeight="1" thickBot="1">
      <c r="A127" s="1208"/>
      <c r="B127" s="1208"/>
      <c r="C127" s="1208"/>
      <c r="D127" s="1208"/>
      <c r="E127" s="1208"/>
      <c r="F127" s="1208"/>
      <c r="G127" s="1208"/>
      <c r="H127" s="1208"/>
      <c r="I127" s="1208"/>
      <c r="J127" s="1208"/>
      <c r="K127" s="1208"/>
      <c r="L127" s="1208"/>
      <c r="M127" s="1208"/>
      <c r="N127" s="1208"/>
      <c r="O127" s="1208"/>
      <c r="P127" s="1208"/>
      <c r="Q127" s="1208"/>
      <c r="R127" s="1208"/>
      <c r="S127" s="1208"/>
      <c r="T127" s="1208"/>
      <c r="U127" s="1208"/>
      <c r="V127" s="1208"/>
      <c r="W127" s="1208"/>
      <c r="X127" s="2046"/>
      <c r="Y127" s="2047"/>
      <c r="Z127" s="2047"/>
      <c r="AA127" s="2047"/>
      <c r="AB127" s="2047"/>
      <c r="AC127" s="2047"/>
      <c r="AD127" s="2047"/>
      <c r="AE127" s="2047"/>
      <c r="AF127" s="2047"/>
      <c r="AG127" s="2047"/>
      <c r="AH127" s="2047"/>
      <c r="AI127" s="2047"/>
      <c r="AJ127" s="2047"/>
      <c r="AK127" s="2047"/>
      <c r="AL127" s="2047"/>
      <c r="AM127" s="2047"/>
      <c r="AN127" s="2047"/>
      <c r="AO127" s="2047"/>
      <c r="AP127" s="2047"/>
      <c r="AQ127" s="2047"/>
      <c r="AR127" s="2047"/>
      <c r="AS127" s="2047"/>
      <c r="AT127" s="2047"/>
      <c r="AU127" s="2047"/>
      <c r="AV127" s="2047"/>
      <c r="AW127" s="2047"/>
      <c r="AX127" s="2047"/>
      <c r="AY127" s="2047"/>
      <c r="AZ127" s="2047"/>
      <c r="BA127" s="2047"/>
      <c r="BB127" s="2047"/>
      <c r="BC127" s="2047"/>
      <c r="BD127" s="2048"/>
      <c r="BE127" s="1215"/>
    </row>
    <row r="128" spans="1:57" ht="15.75" customHeight="1">
      <c r="A128" s="1208"/>
      <c r="B128" s="2106" t="s">
        <v>2299</v>
      </c>
      <c r="C128" s="2107"/>
      <c r="D128" s="2107"/>
      <c r="E128" s="2107"/>
      <c r="F128" s="2107"/>
      <c r="G128" s="2107"/>
      <c r="H128" s="2107"/>
      <c r="I128" s="2107"/>
      <c r="J128" s="2107"/>
      <c r="K128" s="2107"/>
      <c r="L128" s="2107"/>
      <c r="M128" s="2107"/>
      <c r="N128" s="2107"/>
      <c r="O128" s="2107"/>
      <c r="P128" s="2107"/>
      <c r="Q128" s="2107"/>
      <c r="R128" s="2107"/>
      <c r="S128" s="2107"/>
      <c r="T128" s="2107"/>
      <c r="U128" s="2108"/>
      <c r="V128" s="1208"/>
      <c r="W128" s="1208"/>
      <c r="X128" s="2046"/>
      <c r="Y128" s="2047"/>
      <c r="Z128" s="2047"/>
      <c r="AA128" s="2047"/>
      <c r="AB128" s="2047"/>
      <c r="AC128" s="2047"/>
      <c r="AD128" s="2047"/>
      <c r="AE128" s="2047"/>
      <c r="AF128" s="2047"/>
      <c r="AG128" s="2047"/>
      <c r="AH128" s="2047"/>
      <c r="AI128" s="2047"/>
      <c r="AJ128" s="2047"/>
      <c r="AK128" s="2047"/>
      <c r="AL128" s="2047"/>
      <c r="AM128" s="2047"/>
      <c r="AN128" s="2047"/>
      <c r="AO128" s="2047"/>
      <c r="AP128" s="2047"/>
      <c r="AQ128" s="2047"/>
      <c r="AR128" s="2047"/>
      <c r="AS128" s="2047"/>
      <c r="AT128" s="2047"/>
      <c r="AU128" s="2047"/>
      <c r="AV128" s="2047"/>
      <c r="AW128" s="2047"/>
      <c r="AX128" s="2047"/>
      <c r="AY128" s="2047"/>
      <c r="AZ128" s="2047"/>
      <c r="BA128" s="2047"/>
      <c r="BB128" s="2047"/>
      <c r="BC128" s="2047"/>
      <c r="BD128" s="2048"/>
      <c r="BE128" s="1215"/>
    </row>
    <row r="129" spans="1:57" ht="15.75" customHeight="1">
      <c r="A129" s="1208"/>
      <c r="B129" s="2043"/>
      <c r="C129" s="2044"/>
      <c r="D129" s="2044"/>
      <c r="E129" s="2044"/>
      <c r="F129" s="2044"/>
      <c r="G129" s="2044"/>
      <c r="H129" s="2044"/>
      <c r="I129" s="2081" t="s">
        <v>2287</v>
      </c>
      <c r="J129" s="2081"/>
      <c r="K129" s="2081"/>
      <c r="L129" s="2081"/>
      <c r="M129" s="2081"/>
      <c r="N129" s="2081"/>
      <c r="O129" s="2081"/>
      <c r="P129" s="2081" t="s">
        <v>2286</v>
      </c>
      <c r="Q129" s="2081"/>
      <c r="R129" s="2081"/>
      <c r="S129" s="2081"/>
      <c r="T129" s="2081"/>
      <c r="U129" s="2082"/>
      <c r="V129" s="1208"/>
      <c r="W129" s="1208"/>
      <c r="X129" s="2046"/>
      <c r="Y129" s="2047"/>
      <c r="Z129" s="2047"/>
      <c r="AA129" s="2047"/>
      <c r="AB129" s="2047"/>
      <c r="AC129" s="2047"/>
      <c r="AD129" s="2047"/>
      <c r="AE129" s="2047"/>
      <c r="AF129" s="2047"/>
      <c r="AG129" s="2047"/>
      <c r="AH129" s="2047"/>
      <c r="AI129" s="2047"/>
      <c r="AJ129" s="2047"/>
      <c r="AK129" s="2047"/>
      <c r="AL129" s="2047"/>
      <c r="AM129" s="2047"/>
      <c r="AN129" s="2047"/>
      <c r="AO129" s="2047"/>
      <c r="AP129" s="2047"/>
      <c r="AQ129" s="2047"/>
      <c r="AR129" s="2047"/>
      <c r="AS129" s="2047"/>
      <c r="AT129" s="2047"/>
      <c r="AU129" s="2047"/>
      <c r="AV129" s="2047"/>
      <c r="AW129" s="2047"/>
      <c r="AX129" s="2047"/>
      <c r="AY129" s="2047"/>
      <c r="AZ129" s="2047"/>
      <c r="BA129" s="2047"/>
      <c r="BB129" s="2047"/>
      <c r="BC129" s="2047"/>
      <c r="BD129" s="2048"/>
      <c r="BE129" s="1215"/>
    </row>
    <row r="130" spans="1:57" ht="15.75" customHeight="1">
      <c r="A130" s="1208"/>
      <c r="B130" s="2043"/>
      <c r="C130" s="2044"/>
      <c r="D130" s="2044"/>
      <c r="E130" s="2044"/>
      <c r="F130" s="2044"/>
      <c r="G130" s="2044"/>
      <c r="H130" s="2044"/>
      <c r="I130" s="2081"/>
      <c r="J130" s="2081"/>
      <c r="K130" s="2081"/>
      <c r="L130" s="2081"/>
      <c r="M130" s="2081"/>
      <c r="N130" s="2081"/>
      <c r="O130" s="2081"/>
      <c r="P130" s="2081"/>
      <c r="Q130" s="2081"/>
      <c r="R130" s="2081"/>
      <c r="S130" s="2081"/>
      <c r="T130" s="2081"/>
      <c r="U130" s="2082"/>
      <c r="V130" s="1208"/>
      <c r="W130" s="1208"/>
      <c r="X130" s="2046"/>
      <c r="Y130" s="2047"/>
      <c r="Z130" s="2047"/>
      <c r="AA130" s="2047"/>
      <c r="AB130" s="2047"/>
      <c r="AC130" s="2047"/>
      <c r="AD130" s="2047"/>
      <c r="AE130" s="2047"/>
      <c r="AF130" s="2047"/>
      <c r="AG130" s="2047"/>
      <c r="AH130" s="2047"/>
      <c r="AI130" s="2047"/>
      <c r="AJ130" s="2047"/>
      <c r="AK130" s="2047"/>
      <c r="AL130" s="2047"/>
      <c r="AM130" s="2047"/>
      <c r="AN130" s="2047"/>
      <c r="AO130" s="2047"/>
      <c r="AP130" s="2047"/>
      <c r="AQ130" s="2047"/>
      <c r="AR130" s="2047"/>
      <c r="AS130" s="2047"/>
      <c r="AT130" s="2047"/>
      <c r="AU130" s="2047"/>
      <c r="AV130" s="2047"/>
      <c r="AW130" s="2047"/>
      <c r="AX130" s="2047"/>
      <c r="AY130" s="2047"/>
      <c r="AZ130" s="2047"/>
      <c r="BA130" s="2047"/>
      <c r="BB130" s="2047"/>
      <c r="BC130" s="2047"/>
      <c r="BD130" s="2048"/>
      <c r="BE130" s="1215"/>
    </row>
    <row r="131" spans="1:57" ht="15.75" customHeight="1">
      <c r="A131" s="1208"/>
      <c r="B131" s="2077" t="s">
        <v>2285</v>
      </c>
      <c r="C131" s="2078"/>
      <c r="D131" s="2078"/>
      <c r="E131" s="2078"/>
      <c r="F131" s="2078"/>
      <c r="G131" s="2078"/>
      <c r="H131" s="2078"/>
      <c r="I131" s="2079">
        <v>0</v>
      </c>
      <c r="J131" s="2079"/>
      <c r="K131" s="2079"/>
      <c r="L131" s="2079"/>
      <c r="M131" s="2079"/>
      <c r="N131" s="2079"/>
      <c r="O131" s="2079"/>
      <c r="P131" s="2079">
        <v>0</v>
      </c>
      <c r="Q131" s="2079"/>
      <c r="R131" s="2079"/>
      <c r="S131" s="2079"/>
      <c r="T131" s="2079"/>
      <c r="U131" s="2080"/>
      <c r="V131" s="1208"/>
      <c r="W131" s="1208"/>
      <c r="X131" s="2046"/>
      <c r="Y131" s="2047"/>
      <c r="Z131" s="2047"/>
      <c r="AA131" s="2047"/>
      <c r="AB131" s="2047"/>
      <c r="AC131" s="2047"/>
      <c r="AD131" s="2047"/>
      <c r="AE131" s="2047"/>
      <c r="AF131" s="2047"/>
      <c r="AG131" s="2047"/>
      <c r="AH131" s="2047"/>
      <c r="AI131" s="2047"/>
      <c r="AJ131" s="2047"/>
      <c r="AK131" s="2047"/>
      <c r="AL131" s="2047"/>
      <c r="AM131" s="2047"/>
      <c r="AN131" s="2047"/>
      <c r="AO131" s="2047"/>
      <c r="AP131" s="2047"/>
      <c r="AQ131" s="2047"/>
      <c r="AR131" s="2047"/>
      <c r="AS131" s="2047"/>
      <c r="AT131" s="2047"/>
      <c r="AU131" s="2047"/>
      <c r="AV131" s="2047"/>
      <c r="AW131" s="2047"/>
      <c r="AX131" s="2047"/>
      <c r="AY131" s="2047"/>
      <c r="AZ131" s="2047"/>
      <c r="BA131" s="2047"/>
      <c r="BB131" s="2047"/>
      <c r="BC131" s="2047"/>
      <c r="BD131" s="2048"/>
      <c r="BE131" s="1215"/>
    </row>
    <row r="132" spans="1:57" ht="15.75" customHeight="1" thickBot="1">
      <c r="A132" s="1208"/>
      <c r="B132" s="2071" t="s">
        <v>2284</v>
      </c>
      <c r="C132" s="2072"/>
      <c r="D132" s="2072"/>
      <c r="E132" s="2072"/>
      <c r="F132" s="2072"/>
      <c r="G132" s="2072"/>
      <c r="H132" s="2072"/>
      <c r="I132" s="2073">
        <v>0</v>
      </c>
      <c r="J132" s="2073"/>
      <c r="K132" s="2073"/>
      <c r="L132" s="2073"/>
      <c r="M132" s="2073"/>
      <c r="N132" s="2073"/>
      <c r="O132" s="2073"/>
      <c r="P132" s="2073">
        <v>0</v>
      </c>
      <c r="Q132" s="2073"/>
      <c r="R132" s="2073"/>
      <c r="S132" s="2073"/>
      <c r="T132" s="2073"/>
      <c r="U132" s="2074"/>
      <c r="V132" s="1208"/>
      <c r="W132" s="1208"/>
      <c r="X132" s="2049"/>
      <c r="Y132" s="2050"/>
      <c r="Z132" s="2050"/>
      <c r="AA132" s="2050"/>
      <c r="AB132" s="2050"/>
      <c r="AC132" s="2050"/>
      <c r="AD132" s="2050"/>
      <c r="AE132" s="2050"/>
      <c r="AF132" s="2050"/>
      <c r="AG132" s="2050"/>
      <c r="AH132" s="2050"/>
      <c r="AI132" s="2050"/>
      <c r="AJ132" s="2050"/>
      <c r="AK132" s="2050"/>
      <c r="AL132" s="2050"/>
      <c r="AM132" s="2050"/>
      <c r="AN132" s="2050"/>
      <c r="AO132" s="2050"/>
      <c r="AP132" s="2050"/>
      <c r="AQ132" s="2050"/>
      <c r="AR132" s="2050"/>
      <c r="AS132" s="2050"/>
      <c r="AT132" s="2050"/>
      <c r="AU132" s="2050"/>
      <c r="AV132" s="2050"/>
      <c r="AW132" s="2050"/>
      <c r="AX132" s="2050"/>
      <c r="AY132" s="2050"/>
      <c r="AZ132" s="2050"/>
      <c r="BA132" s="2050"/>
      <c r="BB132" s="2050"/>
      <c r="BC132" s="2050"/>
      <c r="BD132" s="2051"/>
      <c r="BE132" s="1215"/>
    </row>
    <row r="133" spans="1:57" ht="15.75" customHeight="1" thickBot="1">
      <c r="A133" s="1208"/>
      <c r="B133" s="1208"/>
      <c r="C133" s="1208"/>
      <c r="D133" s="1208"/>
      <c r="E133" s="1208"/>
      <c r="F133" s="1208"/>
      <c r="G133" s="1208"/>
      <c r="H133" s="1208"/>
      <c r="I133" s="1208"/>
      <c r="J133" s="1208"/>
      <c r="K133" s="1208"/>
      <c r="L133" s="1208"/>
      <c r="M133" s="1208"/>
      <c r="N133" s="1208"/>
      <c r="O133" s="1208"/>
      <c r="P133" s="1208"/>
      <c r="Q133" s="1245"/>
      <c r="R133" s="1208"/>
      <c r="S133" s="1208"/>
      <c r="T133" s="1208"/>
      <c r="U133" s="1208"/>
      <c r="V133" s="1208"/>
      <c r="W133" s="1208"/>
      <c r="X133" s="1208"/>
      <c r="Y133" s="1208"/>
      <c r="Z133" s="1208"/>
      <c r="AA133" s="1208"/>
      <c r="AB133" s="1208"/>
      <c r="AC133" s="1208"/>
      <c r="AD133" s="1208"/>
      <c r="AE133" s="1208"/>
      <c r="AF133" s="1208"/>
      <c r="AG133" s="1208"/>
      <c r="AH133" s="1208"/>
      <c r="AI133" s="1208"/>
      <c r="AJ133" s="1208"/>
      <c r="AK133" s="1208"/>
      <c r="AL133" s="1208"/>
      <c r="AM133" s="1208"/>
      <c r="AN133" s="1208"/>
      <c r="AO133" s="1208"/>
      <c r="AP133" s="1208"/>
      <c r="AQ133" s="1208"/>
      <c r="AR133" s="1208"/>
      <c r="AS133" s="1208"/>
      <c r="AT133" s="1208"/>
      <c r="AU133" s="1208"/>
      <c r="AV133" s="1208"/>
      <c r="AW133" s="1208"/>
      <c r="AX133" s="1208"/>
      <c r="AY133" s="1208"/>
      <c r="AZ133" s="1208"/>
      <c r="BA133" s="1208"/>
      <c r="BB133" s="1208"/>
      <c r="BC133" s="1208"/>
      <c r="BD133" s="1208"/>
      <c r="BE133" s="1215"/>
    </row>
    <row r="134" spans="1:57" ht="15.75" customHeight="1">
      <c r="A134" s="1208"/>
      <c r="B134" s="2098" t="s">
        <v>2298</v>
      </c>
      <c r="C134" s="2099"/>
      <c r="D134" s="2099"/>
      <c r="E134" s="2099"/>
      <c r="F134" s="2099"/>
      <c r="G134" s="2099"/>
      <c r="H134" s="2099"/>
      <c r="I134" s="2099"/>
      <c r="J134" s="2099"/>
      <c r="K134" s="2099"/>
      <c r="L134" s="2099"/>
      <c r="M134" s="2099"/>
      <c r="N134" s="2099"/>
      <c r="O134" s="2099"/>
      <c r="P134" s="2099"/>
      <c r="Q134" s="2099"/>
      <c r="R134" s="2099"/>
      <c r="S134" s="2099"/>
      <c r="T134" s="2099"/>
      <c r="U134" s="2099"/>
      <c r="V134" s="2099"/>
      <c r="W134" s="2099"/>
      <c r="X134" s="2099"/>
      <c r="Y134" s="2099"/>
      <c r="Z134" s="2099"/>
      <c r="AA134" s="2099"/>
      <c r="AB134" s="2099"/>
      <c r="AC134" s="2099"/>
      <c r="AD134" s="2099"/>
      <c r="AE134" s="2099"/>
      <c r="AF134" s="2099"/>
      <c r="AG134" s="2099"/>
      <c r="AH134" s="2086" t="s">
        <v>545</v>
      </c>
      <c r="AI134" s="2086"/>
      <c r="AJ134" s="2086"/>
      <c r="AK134" s="2086"/>
      <c r="AL134" s="2086"/>
      <c r="AM134" s="2086"/>
      <c r="AN134" s="2086"/>
      <c r="AO134" s="2086"/>
      <c r="AP134" s="2086"/>
      <c r="AQ134" s="2086"/>
      <c r="AR134" s="2086"/>
      <c r="AS134" s="2086"/>
      <c r="AT134" s="2086"/>
      <c r="AU134" s="2086"/>
      <c r="AV134" s="2086"/>
      <c r="AW134" s="2086"/>
      <c r="AX134" s="2087"/>
      <c r="AY134" s="1208"/>
      <c r="AZ134" s="1208"/>
      <c r="BA134" s="1208"/>
      <c r="BB134" s="1208"/>
      <c r="BC134" s="1208"/>
      <c r="BD134" s="1208"/>
      <c r="BE134" s="1215"/>
    </row>
    <row r="135" spans="1:57" ht="15.75" customHeight="1" thickBot="1">
      <c r="A135" s="1208"/>
      <c r="B135" s="2083" t="s">
        <v>2297</v>
      </c>
      <c r="C135" s="2084"/>
      <c r="D135" s="2084"/>
      <c r="E135" s="2084"/>
      <c r="F135" s="2084"/>
      <c r="G135" s="2084"/>
      <c r="H135" s="2084"/>
      <c r="I135" s="2084"/>
      <c r="J135" s="2084"/>
      <c r="K135" s="2084"/>
      <c r="L135" s="2084"/>
      <c r="M135" s="2084"/>
      <c r="N135" s="2084"/>
      <c r="O135" s="2084"/>
      <c r="P135" s="2084"/>
      <c r="Q135" s="2084"/>
      <c r="R135" s="2084"/>
      <c r="S135" s="2084"/>
      <c r="T135" s="2084"/>
      <c r="U135" s="2084"/>
      <c r="V135" s="2084"/>
      <c r="W135" s="2084"/>
      <c r="X135" s="2084"/>
      <c r="Y135" s="2084"/>
      <c r="Z135" s="2084"/>
      <c r="AA135" s="2084"/>
      <c r="AB135" s="2084"/>
      <c r="AC135" s="2084"/>
      <c r="AD135" s="2084"/>
      <c r="AE135" s="2084"/>
      <c r="AF135" s="2084"/>
      <c r="AG135" s="2085"/>
      <c r="AH135" s="2100"/>
      <c r="AI135" s="2101"/>
      <c r="AJ135" s="2101"/>
      <c r="AK135" s="2101"/>
      <c r="AL135" s="2101"/>
      <c r="AM135" s="2101"/>
      <c r="AN135" s="2101"/>
      <c r="AO135" s="2101"/>
      <c r="AP135" s="2101"/>
      <c r="AQ135" s="2101"/>
      <c r="AR135" s="2101"/>
      <c r="AS135" s="2101"/>
      <c r="AT135" s="2101"/>
      <c r="AU135" s="2101"/>
      <c r="AV135" s="2101"/>
      <c r="AW135" s="2101"/>
      <c r="AX135" s="2102"/>
      <c r="AY135" s="1208"/>
      <c r="AZ135" s="1208"/>
      <c r="BA135" s="1208"/>
      <c r="BB135" s="1208"/>
      <c r="BC135" s="1208"/>
      <c r="BD135" s="1208"/>
      <c r="BE135" s="1215"/>
    </row>
    <row r="136" spans="1:57" ht="15.75" customHeight="1">
      <c r="A136" s="1208"/>
      <c r="B136" s="2083" t="s">
        <v>2296</v>
      </c>
      <c r="C136" s="2084"/>
      <c r="D136" s="2084"/>
      <c r="E136" s="2084"/>
      <c r="F136" s="2084"/>
      <c r="G136" s="2084"/>
      <c r="H136" s="2084"/>
      <c r="I136" s="2084"/>
      <c r="J136" s="2084"/>
      <c r="K136" s="2084"/>
      <c r="L136" s="2084"/>
      <c r="M136" s="2084"/>
      <c r="N136" s="2084"/>
      <c r="O136" s="2084"/>
      <c r="P136" s="2084"/>
      <c r="Q136" s="2084"/>
      <c r="R136" s="2084"/>
      <c r="S136" s="2084"/>
      <c r="T136" s="2084"/>
      <c r="U136" s="2084"/>
      <c r="V136" s="2084"/>
      <c r="W136" s="2084"/>
      <c r="X136" s="2084"/>
      <c r="Y136" s="2084"/>
      <c r="Z136" s="2084"/>
      <c r="AA136" s="2084"/>
      <c r="AB136" s="2084"/>
      <c r="AC136" s="2084"/>
      <c r="AD136" s="2084"/>
      <c r="AE136" s="2084"/>
      <c r="AF136" s="2084"/>
      <c r="AG136" s="2085"/>
      <c r="AH136" s="2086" t="s">
        <v>545</v>
      </c>
      <c r="AI136" s="2086"/>
      <c r="AJ136" s="2086"/>
      <c r="AK136" s="2086"/>
      <c r="AL136" s="2086"/>
      <c r="AM136" s="2086"/>
      <c r="AN136" s="2086"/>
      <c r="AO136" s="2086"/>
      <c r="AP136" s="2086"/>
      <c r="AQ136" s="2086"/>
      <c r="AR136" s="2086"/>
      <c r="AS136" s="2086"/>
      <c r="AT136" s="2086"/>
      <c r="AU136" s="2086"/>
      <c r="AV136" s="2086"/>
      <c r="AW136" s="2086"/>
      <c r="AX136" s="2087"/>
      <c r="AY136" s="1208"/>
      <c r="AZ136" s="1208"/>
      <c r="BA136" s="1208"/>
      <c r="BB136" s="1208"/>
      <c r="BC136" s="1208"/>
      <c r="BD136" s="1208"/>
      <c r="BE136" s="1215"/>
    </row>
    <row r="137" spans="1:57" ht="15.75" customHeight="1">
      <c r="A137" s="1208"/>
      <c r="B137" s="2088" t="s">
        <v>2295</v>
      </c>
      <c r="C137" s="2089"/>
      <c r="D137" s="2089"/>
      <c r="E137" s="2089"/>
      <c r="F137" s="2089"/>
      <c r="G137" s="2089"/>
      <c r="H137" s="2089"/>
      <c r="I137" s="2089"/>
      <c r="J137" s="2089"/>
      <c r="K137" s="2089"/>
      <c r="L137" s="2089"/>
      <c r="M137" s="2089"/>
      <c r="N137" s="2089"/>
      <c r="O137" s="2089"/>
      <c r="P137" s="2089"/>
      <c r="Q137" s="2089"/>
      <c r="R137" s="2090" t="s">
        <v>2294</v>
      </c>
      <c r="S137" s="2090"/>
      <c r="T137" s="2090"/>
      <c r="U137" s="2090"/>
      <c r="V137" s="2090"/>
      <c r="W137" s="2090"/>
      <c r="X137" s="2090"/>
      <c r="Y137" s="2090"/>
      <c r="Z137" s="2090"/>
      <c r="AA137" s="2090"/>
      <c r="AB137" s="2090"/>
      <c r="AC137" s="2090"/>
      <c r="AD137" s="2090"/>
      <c r="AE137" s="2090"/>
      <c r="AF137" s="2090"/>
      <c r="AG137" s="2090"/>
      <c r="AH137" s="2090"/>
      <c r="AI137" s="2090"/>
      <c r="AJ137" s="2090"/>
      <c r="AK137" s="2090"/>
      <c r="AL137" s="2090"/>
      <c r="AM137" s="2090"/>
      <c r="AN137" s="2090"/>
      <c r="AO137" s="2090"/>
      <c r="AP137" s="2090"/>
      <c r="AQ137" s="2090"/>
      <c r="AR137" s="2090"/>
      <c r="AS137" s="2090"/>
      <c r="AT137" s="2090"/>
      <c r="AU137" s="2090"/>
      <c r="AV137" s="2090"/>
      <c r="AW137" s="2090"/>
      <c r="AX137" s="2091"/>
      <c r="AY137" s="1208"/>
      <c r="AZ137" s="1208"/>
      <c r="BA137" s="1208"/>
      <c r="BB137" s="1208"/>
      <c r="BC137" s="1208" t="s">
        <v>250</v>
      </c>
      <c r="BD137" s="1208"/>
      <c r="BE137" s="1215"/>
    </row>
    <row r="138" spans="1:57" ht="15.75" customHeight="1">
      <c r="A138" s="1208"/>
      <c r="B138" s="2092" t="s">
        <v>2293</v>
      </c>
      <c r="C138" s="2093"/>
      <c r="D138" s="2093"/>
      <c r="E138" s="2093"/>
      <c r="F138" s="2093"/>
      <c r="G138" s="2093"/>
      <c r="H138" s="2093"/>
      <c r="I138" s="2093"/>
      <c r="J138" s="2093"/>
      <c r="K138" s="2093"/>
      <c r="L138" s="2093"/>
      <c r="M138" s="2093"/>
      <c r="N138" s="2093"/>
      <c r="O138" s="2093"/>
      <c r="P138" s="2093"/>
      <c r="Q138" s="2093"/>
      <c r="R138" s="2093"/>
      <c r="S138" s="2093"/>
      <c r="T138" s="2093"/>
      <c r="U138" s="2093"/>
      <c r="V138" s="2093"/>
      <c r="W138" s="2093"/>
      <c r="X138" s="2093"/>
      <c r="Y138" s="2093"/>
      <c r="Z138" s="2093"/>
      <c r="AA138" s="2093"/>
      <c r="AB138" s="2093"/>
      <c r="AC138" s="2093"/>
      <c r="AD138" s="2093"/>
      <c r="AE138" s="2093"/>
      <c r="AF138" s="2093"/>
      <c r="AG138" s="2093"/>
      <c r="AH138" s="2093"/>
      <c r="AI138" s="2093"/>
      <c r="AJ138" s="2093"/>
      <c r="AK138" s="2093"/>
      <c r="AL138" s="2093"/>
      <c r="AM138" s="2093"/>
      <c r="AN138" s="2093"/>
      <c r="AO138" s="2093"/>
      <c r="AP138" s="2093"/>
      <c r="AQ138" s="2093"/>
      <c r="AR138" s="2093"/>
      <c r="AS138" s="2093"/>
      <c r="AT138" s="2093"/>
      <c r="AU138" s="2093"/>
      <c r="AV138" s="2093"/>
      <c r="AW138" s="2093"/>
      <c r="AX138" s="2094"/>
      <c r="AY138" s="1208"/>
      <c r="AZ138" s="1208"/>
      <c r="BA138" s="1208"/>
      <c r="BB138" s="1208"/>
      <c r="BC138" s="1208"/>
      <c r="BD138" s="1208"/>
      <c r="BE138" s="1215"/>
    </row>
    <row r="139" spans="1:57" ht="15.75" customHeight="1">
      <c r="A139" s="1208"/>
      <c r="B139" s="2092"/>
      <c r="C139" s="2093"/>
      <c r="D139" s="2093"/>
      <c r="E139" s="2093"/>
      <c r="F139" s="2093"/>
      <c r="G139" s="2093"/>
      <c r="H139" s="2093"/>
      <c r="I139" s="2093"/>
      <c r="J139" s="2093"/>
      <c r="K139" s="2093"/>
      <c r="L139" s="2093"/>
      <c r="M139" s="2093"/>
      <c r="N139" s="2093"/>
      <c r="O139" s="2093"/>
      <c r="P139" s="2093"/>
      <c r="Q139" s="2093"/>
      <c r="R139" s="2093"/>
      <c r="S139" s="2093"/>
      <c r="T139" s="2093"/>
      <c r="U139" s="2093"/>
      <c r="V139" s="2093"/>
      <c r="W139" s="2093"/>
      <c r="X139" s="2093"/>
      <c r="Y139" s="2093"/>
      <c r="Z139" s="2093"/>
      <c r="AA139" s="2093"/>
      <c r="AB139" s="2093"/>
      <c r="AC139" s="2093"/>
      <c r="AD139" s="2093"/>
      <c r="AE139" s="2093"/>
      <c r="AF139" s="2093"/>
      <c r="AG139" s="2093"/>
      <c r="AH139" s="2093"/>
      <c r="AI139" s="2093"/>
      <c r="AJ139" s="2093"/>
      <c r="AK139" s="2093"/>
      <c r="AL139" s="2093"/>
      <c r="AM139" s="2093"/>
      <c r="AN139" s="2093"/>
      <c r="AO139" s="2093"/>
      <c r="AP139" s="2093"/>
      <c r="AQ139" s="2093"/>
      <c r="AR139" s="2093"/>
      <c r="AS139" s="2093"/>
      <c r="AT139" s="2093"/>
      <c r="AU139" s="2093"/>
      <c r="AV139" s="2093"/>
      <c r="AW139" s="2093"/>
      <c r="AX139" s="2094"/>
      <c r="AY139" s="1208"/>
      <c r="AZ139" s="1208"/>
      <c r="BA139" s="1208"/>
      <c r="BB139" s="1208"/>
      <c r="BC139" s="1208"/>
      <c r="BD139" s="1208"/>
      <c r="BE139" s="1215"/>
    </row>
    <row r="140" spans="1:57" ht="15.75" customHeight="1">
      <c r="A140" s="1208"/>
      <c r="B140" s="2092"/>
      <c r="C140" s="2093"/>
      <c r="D140" s="2093"/>
      <c r="E140" s="2093"/>
      <c r="F140" s="2093"/>
      <c r="G140" s="2093"/>
      <c r="H140" s="2093"/>
      <c r="I140" s="2093"/>
      <c r="J140" s="2093"/>
      <c r="K140" s="2093"/>
      <c r="L140" s="2093"/>
      <c r="M140" s="2093"/>
      <c r="N140" s="2093"/>
      <c r="O140" s="2093"/>
      <c r="P140" s="2093"/>
      <c r="Q140" s="2093"/>
      <c r="R140" s="2093"/>
      <c r="S140" s="2093"/>
      <c r="T140" s="2093"/>
      <c r="U140" s="2093"/>
      <c r="V140" s="2093"/>
      <c r="W140" s="2093"/>
      <c r="X140" s="2093"/>
      <c r="Y140" s="2093"/>
      <c r="Z140" s="2093"/>
      <c r="AA140" s="2093"/>
      <c r="AB140" s="2093"/>
      <c r="AC140" s="2093"/>
      <c r="AD140" s="2093"/>
      <c r="AE140" s="2093"/>
      <c r="AF140" s="2093"/>
      <c r="AG140" s="2093"/>
      <c r="AH140" s="2093"/>
      <c r="AI140" s="2093"/>
      <c r="AJ140" s="2093"/>
      <c r="AK140" s="2093"/>
      <c r="AL140" s="2093"/>
      <c r="AM140" s="2093"/>
      <c r="AN140" s="2093"/>
      <c r="AO140" s="2093"/>
      <c r="AP140" s="2093"/>
      <c r="AQ140" s="2093"/>
      <c r="AR140" s="2093"/>
      <c r="AS140" s="2093"/>
      <c r="AT140" s="2093"/>
      <c r="AU140" s="2093"/>
      <c r="AV140" s="2093"/>
      <c r="AW140" s="2093"/>
      <c r="AX140" s="2094"/>
      <c r="AY140" s="1208"/>
      <c r="AZ140" s="1208"/>
      <c r="BA140" s="1208"/>
      <c r="BB140" s="1208"/>
      <c r="BC140" s="1208"/>
      <c r="BD140" s="1208"/>
      <c r="BE140" s="1215"/>
    </row>
    <row r="141" spans="1:57" ht="15.75" customHeight="1">
      <c r="A141" s="1208"/>
      <c r="B141" s="2092"/>
      <c r="C141" s="2093"/>
      <c r="D141" s="2093"/>
      <c r="E141" s="2093"/>
      <c r="F141" s="2093"/>
      <c r="G141" s="2093"/>
      <c r="H141" s="2093"/>
      <c r="I141" s="2093"/>
      <c r="J141" s="2093"/>
      <c r="K141" s="2093"/>
      <c r="L141" s="2093"/>
      <c r="M141" s="2093"/>
      <c r="N141" s="2093"/>
      <c r="O141" s="2093"/>
      <c r="P141" s="2093"/>
      <c r="Q141" s="2093"/>
      <c r="R141" s="2093"/>
      <c r="S141" s="2093"/>
      <c r="T141" s="2093"/>
      <c r="U141" s="2093"/>
      <c r="V141" s="2093"/>
      <c r="W141" s="2093"/>
      <c r="X141" s="2093"/>
      <c r="Y141" s="2093"/>
      <c r="Z141" s="2093"/>
      <c r="AA141" s="2093"/>
      <c r="AB141" s="2093"/>
      <c r="AC141" s="2093"/>
      <c r="AD141" s="2093"/>
      <c r="AE141" s="2093"/>
      <c r="AF141" s="2093"/>
      <c r="AG141" s="2093"/>
      <c r="AH141" s="2093"/>
      <c r="AI141" s="2093"/>
      <c r="AJ141" s="2093"/>
      <c r="AK141" s="2093"/>
      <c r="AL141" s="2093"/>
      <c r="AM141" s="2093"/>
      <c r="AN141" s="2093"/>
      <c r="AO141" s="2093"/>
      <c r="AP141" s="2093"/>
      <c r="AQ141" s="2093"/>
      <c r="AR141" s="2093"/>
      <c r="AS141" s="2093"/>
      <c r="AT141" s="2093"/>
      <c r="AU141" s="2093"/>
      <c r="AV141" s="2093"/>
      <c r="AW141" s="2093"/>
      <c r="AX141" s="2094"/>
      <c r="AY141" s="1208"/>
      <c r="AZ141" s="1208"/>
      <c r="BA141" s="1208"/>
      <c r="BB141" s="1208"/>
      <c r="BC141" s="1208"/>
      <c r="BD141" s="1208"/>
      <c r="BE141" s="1215"/>
    </row>
    <row r="142" spans="1:57" ht="15.75" customHeight="1">
      <c r="A142" s="1208"/>
      <c r="B142" s="2092"/>
      <c r="C142" s="2093"/>
      <c r="D142" s="2093"/>
      <c r="E142" s="2093"/>
      <c r="F142" s="2093"/>
      <c r="G142" s="2093"/>
      <c r="H142" s="2093"/>
      <c r="I142" s="2093"/>
      <c r="J142" s="2093"/>
      <c r="K142" s="2093"/>
      <c r="L142" s="2093"/>
      <c r="M142" s="2093"/>
      <c r="N142" s="2093"/>
      <c r="O142" s="2093"/>
      <c r="P142" s="2093"/>
      <c r="Q142" s="2093"/>
      <c r="R142" s="2093"/>
      <c r="S142" s="2093"/>
      <c r="T142" s="2093"/>
      <c r="U142" s="2093"/>
      <c r="V142" s="2093"/>
      <c r="W142" s="2093"/>
      <c r="X142" s="2093"/>
      <c r="Y142" s="2093"/>
      <c r="Z142" s="2093"/>
      <c r="AA142" s="2093"/>
      <c r="AB142" s="2093"/>
      <c r="AC142" s="2093"/>
      <c r="AD142" s="2093"/>
      <c r="AE142" s="2093"/>
      <c r="AF142" s="2093"/>
      <c r="AG142" s="2093"/>
      <c r="AH142" s="2093"/>
      <c r="AI142" s="2093"/>
      <c r="AJ142" s="2093"/>
      <c r="AK142" s="2093"/>
      <c r="AL142" s="2093"/>
      <c r="AM142" s="2093"/>
      <c r="AN142" s="2093"/>
      <c r="AO142" s="2093"/>
      <c r="AP142" s="2093"/>
      <c r="AQ142" s="2093"/>
      <c r="AR142" s="2093"/>
      <c r="AS142" s="2093"/>
      <c r="AT142" s="2093"/>
      <c r="AU142" s="2093"/>
      <c r="AV142" s="2093"/>
      <c r="AW142" s="2093"/>
      <c r="AX142" s="2094"/>
      <c r="AY142" s="1208"/>
      <c r="AZ142" s="1208"/>
      <c r="BA142" s="1208"/>
      <c r="BB142" s="1208"/>
      <c r="BC142" s="1208"/>
      <c r="BD142" s="1208"/>
      <c r="BE142" s="1215"/>
    </row>
    <row r="143" spans="1:57" ht="15.75" customHeight="1">
      <c r="A143" s="1208"/>
      <c r="B143" s="2092"/>
      <c r="C143" s="2093"/>
      <c r="D143" s="2093"/>
      <c r="E143" s="2093"/>
      <c r="F143" s="2093"/>
      <c r="G143" s="2093"/>
      <c r="H143" s="2093"/>
      <c r="I143" s="2093"/>
      <c r="J143" s="2093"/>
      <c r="K143" s="2093"/>
      <c r="L143" s="2093"/>
      <c r="M143" s="2093"/>
      <c r="N143" s="2093"/>
      <c r="O143" s="2093"/>
      <c r="P143" s="2093"/>
      <c r="Q143" s="2093"/>
      <c r="R143" s="2093"/>
      <c r="S143" s="2093"/>
      <c r="T143" s="2093"/>
      <c r="U143" s="2093"/>
      <c r="V143" s="2093"/>
      <c r="W143" s="2093"/>
      <c r="X143" s="2093"/>
      <c r="Y143" s="2093"/>
      <c r="Z143" s="2093"/>
      <c r="AA143" s="2093"/>
      <c r="AB143" s="2093"/>
      <c r="AC143" s="2093"/>
      <c r="AD143" s="2093"/>
      <c r="AE143" s="2093"/>
      <c r="AF143" s="2093"/>
      <c r="AG143" s="2093"/>
      <c r="AH143" s="2093"/>
      <c r="AI143" s="2093"/>
      <c r="AJ143" s="2093"/>
      <c r="AK143" s="2093"/>
      <c r="AL143" s="2093"/>
      <c r="AM143" s="2093"/>
      <c r="AN143" s="2093"/>
      <c r="AO143" s="2093"/>
      <c r="AP143" s="2093"/>
      <c r="AQ143" s="2093"/>
      <c r="AR143" s="2093"/>
      <c r="AS143" s="2093"/>
      <c r="AT143" s="2093"/>
      <c r="AU143" s="2093"/>
      <c r="AV143" s="2093"/>
      <c r="AW143" s="2093"/>
      <c r="AX143" s="2094"/>
      <c r="AY143" s="1208"/>
      <c r="AZ143" s="1208"/>
      <c r="BA143" s="1208"/>
      <c r="BB143" s="1208"/>
      <c r="BC143" s="1208"/>
      <c r="BD143" s="1208"/>
      <c r="BE143" s="1215"/>
    </row>
    <row r="144" spans="1:57" ht="15.75" customHeight="1">
      <c r="A144" s="1208"/>
      <c r="B144" s="2092"/>
      <c r="C144" s="2093"/>
      <c r="D144" s="2093"/>
      <c r="E144" s="2093"/>
      <c r="F144" s="2093"/>
      <c r="G144" s="2093"/>
      <c r="H144" s="2093"/>
      <c r="I144" s="2093"/>
      <c r="J144" s="2093"/>
      <c r="K144" s="2093"/>
      <c r="L144" s="2093"/>
      <c r="M144" s="2093"/>
      <c r="N144" s="2093"/>
      <c r="O144" s="2093"/>
      <c r="P144" s="2093"/>
      <c r="Q144" s="2093"/>
      <c r="R144" s="2093"/>
      <c r="S144" s="2093"/>
      <c r="T144" s="2093"/>
      <c r="U144" s="2093"/>
      <c r="V144" s="2093"/>
      <c r="W144" s="2093"/>
      <c r="X144" s="2093"/>
      <c r="Y144" s="2093"/>
      <c r="Z144" s="2093"/>
      <c r="AA144" s="2093"/>
      <c r="AB144" s="2093"/>
      <c r="AC144" s="2093"/>
      <c r="AD144" s="2093"/>
      <c r="AE144" s="2093"/>
      <c r="AF144" s="2093"/>
      <c r="AG144" s="2093"/>
      <c r="AH144" s="2093"/>
      <c r="AI144" s="2093"/>
      <c r="AJ144" s="2093"/>
      <c r="AK144" s="2093"/>
      <c r="AL144" s="2093"/>
      <c r="AM144" s="2093"/>
      <c r="AN144" s="2093"/>
      <c r="AO144" s="2093"/>
      <c r="AP144" s="2093"/>
      <c r="AQ144" s="2093"/>
      <c r="AR144" s="2093"/>
      <c r="AS144" s="2093"/>
      <c r="AT144" s="2093"/>
      <c r="AU144" s="2093"/>
      <c r="AV144" s="2093"/>
      <c r="AW144" s="2093"/>
      <c r="AX144" s="2094"/>
      <c r="AY144" s="1208"/>
      <c r="AZ144" s="1208"/>
      <c r="BA144" s="1208"/>
      <c r="BB144" s="1208"/>
      <c r="BC144" s="1208"/>
      <c r="BD144" s="1208"/>
      <c r="BE144" s="1215"/>
    </row>
    <row r="145" spans="1:57" ht="15.75" customHeight="1">
      <c r="A145" s="1208"/>
      <c r="B145" s="2092"/>
      <c r="C145" s="2093"/>
      <c r="D145" s="2093"/>
      <c r="E145" s="2093"/>
      <c r="F145" s="2093"/>
      <c r="G145" s="2093"/>
      <c r="H145" s="2093"/>
      <c r="I145" s="2093"/>
      <c r="J145" s="2093"/>
      <c r="K145" s="2093"/>
      <c r="L145" s="2093"/>
      <c r="M145" s="2093"/>
      <c r="N145" s="2093"/>
      <c r="O145" s="2093"/>
      <c r="P145" s="2093"/>
      <c r="Q145" s="2093"/>
      <c r="R145" s="2093"/>
      <c r="S145" s="2093"/>
      <c r="T145" s="2093"/>
      <c r="U145" s="2093"/>
      <c r="V145" s="2093"/>
      <c r="W145" s="2093"/>
      <c r="X145" s="2093"/>
      <c r="Y145" s="2093"/>
      <c r="Z145" s="2093"/>
      <c r="AA145" s="2093"/>
      <c r="AB145" s="2093"/>
      <c r="AC145" s="2093"/>
      <c r="AD145" s="2093"/>
      <c r="AE145" s="2093"/>
      <c r="AF145" s="2093"/>
      <c r="AG145" s="2093"/>
      <c r="AH145" s="2093"/>
      <c r="AI145" s="2093"/>
      <c r="AJ145" s="2093"/>
      <c r="AK145" s="2093"/>
      <c r="AL145" s="2093"/>
      <c r="AM145" s="2093"/>
      <c r="AN145" s="2093"/>
      <c r="AO145" s="2093"/>
      <c r="AP145" s="2093"/>
      <c r="AQ145" s="2093"/>
      <c r="AR145" s="2093"/>
      <c r="AS145" s="2093"/>
      <c r="AT145" s="2093"/>
      <c r="AU145" s="2093"/>
      <c r="AV145" s="2093"/>
      <c r="AW145" s="2093"/>
      <c r="AX145" s="2094"/>
      <c r="AY145" s="1208"/>
      <c r="AZ145" s="1208"/>
      <c r="BA145" s="1208"/>
      <c r="BB145" s="1208"/>
      <c r="BC145" s="1208"/>
      <c r="BD145" s="1208"/>
      <c r="BE145" s="1215"/>
    </row>
    <row r="146" spans="1:57" ht="15.75" customHeight="1">
      <c r="A146" s="1208"/>
      <c r="B146" s="2092"/>
      <c r="C146" s="2093"/>
      <c r="D146" s="2093"/>
      <c r="E146" s="2093"/>
      <c r="F146" s="2093"/>
      <c r="G146" s="2093"/>
      <c r="H146" s="2093"/>
      <c r="I146" s="2093"/>
      <c r="J146" s="2093"/>
      <c r="K146" s="2093"/>
      <c r="L146" s="2093"/>
      <c r="M146" s="2093"/>
      <c r="N146" s="2093"/>
      <c r="O146" s="2093"/>
      <c r="P146" s="2093"/>
      <c r="Q146" s="2093"/>
      <c r="R146" s="2093"/>
      <c r="S146" s="2093"/>
      <c r="T146" s="2093"/>
      <c r="U146" s="2093"/>
      <c r="V146" s="2093"/>
      <c r="W146" s="2093"/>
      <c r="X146" s="2093"/>
      <c r="Y146" s="2093"/>
      <c r="Z146" s="2093"/>
      <c r="AA146" s="2093"/>
      <c r="AB146" s="2093"/>
      <c r="AC146" s="2093"/>
      <c r="AD146" s="2093"/>
      <c r="AE146" s="2093"/>
      <c r="AF146" s="2093"/>
      <c r="AG146" s="2093"/>
      <c r="AH146" s="2093"/>
      <c r="AI146" s="2093"/>
      <c r="AJ146" s="2093"/>
      <c r="AK146" s="2093"/>
      <c r="AL146" s="2093"/>
      <c r="AM146" s="2093"/>
      <c r="AN146" s="2093"/>
      <c r="AO146" s="2093"/>
      <c r="AP146" s="2093"/>
      <c r="AQ146" s="2093"/>
      <c r="AR146" s="2093"/>
      <c r="AS146" s="2093"/>
      <c r="AT146" s="2093"/>
      <c r="AU146" s="2093"/>
      <c r="AV146" s="2093"/>
      <c r="AW146" s="2093"/>
      <c r="AX146" s="2094"/>
      <c r="AY146" s="1208"/>
      <c r="AZ146" s="1208"/>
      <c r="BA146" s="1208"/>
      <c r="BB146" s="1208"/>
      <c r="BC146" s="1208"/>
      <c r="BD146" s="1208"/>
      <c r="BE146" s="1215"/>
    </row>
    <row r="147" spans="1:57" ht="15.75" customHeight="1" thickBot="1">
      <c r="A147" s="1208"/>
      <c r="B147" s="2095"/>
      <c r="C147" s="2096"/>
      <c r="D147" s="2096"/>
      <c r="E147" s="2096"/>
      <c r="F147" s="2096"/>
      <c r="G147" s="2096"/>
      <c r="H147" s="2096"/>
      <c r="I147" s="2096"/>
      <c r="J147" s="2096"/>
      <c r="K147" s="2096"/>
      <c r="L147" s="2096"/>
      <c r="M147" s="2096"/>
      <c r="N147" s="2096"/>
      <c r="O147" s="2096"/>
      <c r="P147" s="2096"/>
      <c r="Q147" s="2096"/>
      <c r="R147" s="2096"/>
      <c r="S147" s="2096"/>
      <c r="T147" s="2096"/>
      <c r="U147" s="2096"/>
      <c r="V147" s="2096"/>
      <c r="W147" s="2096"/>
      <c r="X147" s="2096"/>
      <c r="Y147" s="2096"/>
      <c r="Z147" s="2096"/>
      <c r="AA147" s="2096"/>
      <c r="AB147" s="2096"/>
      <c r="AC147" s="2096"/>
      <c r="AD147" s="2096"/>
      <c r="AE147" s="2096"/>
      <c r="AF147" s="2096"/>
      <c r="AG147" s="2096"/>
      <c r="AH147" s="2096"/>
      <c r="AI147" s="2096"/>
      <c r="AJ147" s="2096"/>
      <c r="AK147" s="2096"/>
      <c r="AL147" s="2096"/>
      <c r="AM147" s="2096"/>
      <c r="AN147" s="2096"/>
      <c r="AO147" s="2096"/>
      <c r="AP147" s="2096"/>
      <c r="AQ147" s="2096"/>
      <c r="AR147" s="2096"/>
      <c r="AS147" s="2096"/>
      <c r="AT147" s="2096"/>
      <c r="AU147" s="2096"/>
      <c r="AV147" s="2096"/>
      <c r="AW147" s="2096"/>
      <c r="AX147" s="2097"/>
      <c r="AY147" s="1208"/>
      <c r="AZ147" s="1208"/>
      <c r="BA147" s="1208"/>
      <c r="BB147" s="1208"/>
      <c r="BC147" s="1208"/>
      <c r="BD147" s="1208"/>
      <c r="BE147" s="1215"/>
    </row>
    <row r="148" spans="1:57" ht="15.75" customHeight="1" thickBot="1">
      <c r="A148" s="1208"/>
      <c r="B148" s="1208"/>
      <c r="C148" s="1208"/>
      <c r="D148" s="1208"/>
      <c r="E148" s="1208"/>
      <c r="F148" s="1208"/>
      <c r="G148" s="1208"/>
      <c r="H148" s="1208"/>
      <c r="I148" s="1208"/>
      <c r="J148" s="1208"/>
      <c r="K148" s="1208"/>
      <c r="L148" s="1208"/>
      <c r="M148" s="1208"/>
      <c r="N148" s="1208"/>
      <c r="O148" s="1208"/>
      <c r="P148" s="1208"/>
      <c r="Q148" s="1208"/>
      <c r="R148" s="1208"/>
      <c r="S148" s="1208"/>
      <c r="T148" s="1208"/>
      <c r="U148" s="1208"/>
      <c r="V148" s="1208"/>
      <c r="W148" s="1208"/>
      <c r="X148" s="1208"/>
      <c r="Y148" s="1208"/>
      <c r="Z148" s="1208"/>
      <c r="AA148" s="1208"/>
      <c r="AB148" s="1208"/>
      <c r="AC148" s="1208"/>
      <c r="AD148" s="1208"/>
      <c r="AE148" s="1208"/>
      <c r="AF148" s="1208"/>
      <c r="AG148" s="1208"/>
      <c r="AH148" s="1208"/>
      <c r="AI148" s="1208"/>
      <c r="AJ148" s="1208"/>
      <c r="AK148" s="1208"/>
      <c r="AL148" s="1208"/>
      <c r="AM148" s="1208"/>
      <c r="AN148" s="1208"/>
      <c r="AO148" s="1208"/>
      <c r="AP148" s="1208"/>
      <c r="AQ148" s="1208"/>
      <c r="AR148" s="1208"/>
      <c r="AS148" s="1208"/>
      <c r="AT148" s="1208"/>
      <c r="AU148" s="1208"/>
      <c r="AV148" s="1208"/>
      <c r="AW148" s="1208"/>
      <c r="AX148" s="1208"/>
      <c r="AY148" s="1208"/>
      <c r="AZ148" s="1208"/>
      <c r="BA148" s="1208"/>
      <c r="BB148" s="1208"/>
      <c r="BC148" s="1208"/>
      <c r="BD148" s="1208"/>
      <c r="BE148" s="1215"/>
    </row>
    <row r="149" spans="1:57" ht="15.75" customHeight="1" thickBot="1">
      <c r="A149" s="1208"/>
      <c r="B149" s="1231" t="s">
        <v>2292</v>
      </c>
      <c r="C149" s="1232"/>
      <c r="D149" s="1232"/>
      <c r="E149" s="1232"/>
      <c r="F149" s="1232"/>
      <c r="G149" s="1232"/>
      <c r="H149" s="1232"/>
      <c r="I149" s="1232"/>
      <c r="J149" s="1232"/>
      <c r="K149" s="1232"/>
      <c r="L149" s="1232"/>
      <c r="M149" s="1233"/>
      <c r="N149" s="1216"/>
      <c r="O149" s="1216"/>
      <c r="P149" s="1208"/>
      <c r="Q149" s="1208"/>
      <c r="R149" s="1208"/>
      <c r="S149" s="1208"/>
      <c r="T149" s="1208"/>
      <c r="U149" s="1208" t="s">
        <v>250</v>
      </c>
      <c r="V149" s="1208"/>
      <c r="W149" s="1208"/>
      <c r="X149" s="1231" t="s">
        <v>2291</v>
      </c>
      <c r="Y149" s="1232"/>
      <c r="Z149" s="1232"/>
      <c r="AA149" s="1232"/>
      <c r="AB149" s="1232"/>
      <c r="AC149" s="1232"/>
      <c r="AD149" s="1232"/>
      <c r="AE149" s="1232"/>
      <c r="AF149" s="1232"/>
      <c r="AG149" s="1232"/>
      <c r="AH149" s="1232"/>
      <c r="AI149" s="1232"/>
      <c r="AJ149" s="1232"/>
      <c r="AK149" s="1226"/>
      <c r="AL149" s="1226"/>
      <c r="AM149" s="1227"/>
      <c r="AN149" s="1208"/>
      <c r="AO149" s="1208"/>
      <c r="AP149" s="1208"/>
      <c r="AQ149" s="1208"/>
      <c r="AR149" s="1208"/>
      <c r="AS149" s="1208"/>
      <c r="AT149" s="1208"/>
      <c r="AU149" s="1208"/>
      <c r="AV149" s="1208"/>
      <c r="AW149" s="1208"/>
      <c r="AX149" s="1208"/>
      <c r="AY149" s="1208"/>
      <c r="AZ149" s="1208"/>
      <c r="BA149" s="1208"/>
      <c r="BB149" s="1208"/>
      <c r="BC149" s="1208"/>
      <c r="BD149" s="1208"/>
      <c r="BE149" s="1215"/>
    </row>
    <row r="150" spans="1:57" ht="15.75" customHeight="1" thickBot="1">
      <c r="A150" s="1208"/>
      <c r="B150" s="1208"/>
      <c r="C150" s="1208"/>
      <c r="D150" s="1208"/>
      <c r="E150" s="1208"/>
      <c r="F150" s="1208"/>
      <c r="G150" s="1208"/>
      <c r="H150" s="1208"/>
      <c r="I150" s="1208"/>
      <c r="J150" s="1208"/>
      <c r="K150" s="1208"/>
      <c r="L150" s="1208"/>
      <c r="M150" s="1208"/>
      <c r="N150" s="1208"/>
      <c r="O150" s="1208"/>
      <c r="P150" s="1216"/>
      <c r="Q150" s="1208"/>
      <c r="R150" s="1208"/>
      <c r="S150" s="1208"/>
      <c r="T150" s="1208"/>
      <c r="U150" s="1208"/>
      <c r="V150" s="1208"/>
      <c r="W150" s="1208"/>
      <c r="X150" s="1208"/>
      <c r="Y150" s="1208"/>
      <c r="Z150" s="1208"/>
      <c r="AA150" s="1208"/>
      <c r="AB150" s="1208"/>
      <c r="AC150" s="1208"/>
      <c r="AD150" s="1208"/>
      <c r="AE150" s="1208"/>
      <c r="AF150" s="1208"/>
      <c r="AG150" s="1208"/>
      <c r="AH150" s="1208"/>
      <c r="AI150" s="1208"/>
      <c r="AJ150" s="1208"/>
      <c r="AK150" s="1208"/>
      <c r="AL150" s="1208"/>
      <c r="AM150" s="1208"/>
      <c r="AN150" s="1208"/>
      <c r="AO150" s="1208"/>
      <c r="AP150" s="1208"/>
      <c r="AQ150" s="1208"/>
      <c r="AR150" s="1208"/>
      <c r="AS150" s="1208"/>
      <c r="AT150" s="1208"/>
      <c r="AU150" s="1208"/>
      <c r="AV150" s="1208"/>
      <c r="AW150" s="1208"/>
      <c r="AX150" s="1208"/>
      <c r="AY150" s="1208"/>
      <c r="AZ150" s="1208"/>
      <c r="BA150" s="1208"/>
      <c r="BB150" s="1208"/>
      <c r="BC150" s="1208"/>
      <c r="BD150" s="1208"/>
      <c r="BE150" s="1215"/>
    </row>
    <row r="151" spans="1:57" ht="15.75" customHeight="1">
      <c r="A151" s="1208"/>
      <c r="B151" s="2075" t="s">
        <v>2290</v>
      </c>
      <c r="C151" s="2031"/>
      <c r="D151" s="2031"/>
      <c r="E151" s="2031"/>
      <c r="F151" s="2031"/>
      <c r="G151" s="2031"/>
      <c r="H151" s="2031"/>
      <c r="I151" s="2031"/>
      <c r="J151" s="2031"/>
      <c r="K151" s="2031"/>
      <c r="L151" s="2031"/>
      <c r="M151" s="2031"/>
      <c r="N151" s="2031"/>
      <c r="O151" s="2031"/>
      <c r="P151" s="2031"/>
      <c r="Q151" s="2031"/>
      <c r="R151" s="2031"/>
      <c r="S151" s="2031"/>
      <c r="T151" s="2031"/>
      <c r="U151" s="2032"/>
      <c r="V151" s="1208"/>
      <c r="W151" s="1209"/>
      <c r="X151" s="2075" t="s">
        <v>2289</v>
      </c>
      <c r="Y151" s="2031"/>
      <c r="Z151" s="2031"/>
      <c r="AA151" s="2031"/>
      <c r="AB151" s="2031"/>
      <c r="AC151" s="2031"/>
      <c r="AD151" s="2031"/>
      <c r="AE151" s="2031"/>
      <c r="AF151" s="2031"/>
      <c r="AG151" s="2031"/>
      <c r="AH151" s="2031"/>
      <c r="AI151" s="2031"/>
      <c r="AJ151" s="2031"/>
      <c r="AK151" s="2031"/>
      <c r="AL151" s="2031"/>
      <c r="AM151" s="2031"/>
      <c r="AN151" s="2031"/>
      <c r="AO151" s="2031"/>
      <c r="AP151" s="2031"/>
      <c r="AQ151" s="2032"/>
      <c r="AR151" s="1208"/>
      <c r="AS151" s="1208"/>
      <c r="AT151" s="1208"/>
      <c r="AU151" s="1208"/>
      <c r="AV151" s="1208"/>
      <c r="AW151" s="1208"/>
      <c r="AX151" s="1208"/>
      <c r="AY151" s="1208"/>
      <c r="AZ151" s="1208"/>
      <c r="BA151" s="1208"/>
      <c r="BB151" s="1208"/>
      <c r="BC151" s="1208"/>
      <c r="BD151" s="1208"/>
      <c r="BE151" s="1215"/>
    </row>
    <row r="152" spans="1:57" ht="15.75" customHeight="1">
      <c r="A152" s="1208"/>
      <c r="B152" s="2043"/>
      <c r="C152" s="2044"/>
      <c r="D152" s="2044"/>
      <c r="E152" s="2044"/>
      <c r="F152" s="2044"/>
      <c r="G152" s="2044"/>
      <c r="H152" s="2044"/>
      <c r="I152" s="2081" t="s">
        <v>2287</v>
      </c>
      <c r="J152" s="2081"/>
      <c r="K152" s="2081"/>
      <c r="L152" s="2081"/>
      <c r="M152" s="2081"/>
      <c r="N152" s="2081"/>
      <c r="O152" s="2081"/>
      <c r="P152" s="2081" t="s">
        <v>2288</v>
      </c>
      <c r="Q152" s="2081"/>
      <c r="R152" s="2081"/>
      <c r="S152" s="2081"/>
      <c r="T152" s="2081"/>
      <c r="U152" s="2082"/>
      <c r="V152" s="1208"/>
      <c r="W152" s="1208"/>
      <c r="X152" s="2043"/>
      <c r="Y152" s="2044"/>
      <c r="Z152" s="2044"/>
      <c r="AA152" s="2044"/>
      <c r="AB152" s="2044"/>
      <c r="AC152" s="2044"/>
      <c r="AD152" s="2044"/>
      <c r="AE152" s="2081" t="s">
        <v>2287</v>
      </c>
      <c r="AF152" s="2081"/>
      <c r="AG152" s="2081"/>
      <c r="AH152" s="2081"/>
      <c r="AI152" s="2081"/>
      <c r="AJ152" s="2081"/>
      <c r="AK152" s="2081"/>
      <c r="AL152" s="2081" t="s">
        <v>2286</v>
      </c>
      <c r="AM152" s="2081"/>
      <c r="AN152" s="2081"/>
      <c r="AO152" s="2081"/>
      <c r="AP152" s="2081"/>
      <c r="AQ152" s="2082"/>
      <c r="AR152" s="1208"/>
      <c r="AS152" s="1208"/>
      <c r="AT152" s="1208"/>
      <c r="AU152" s="1208"/>
      <c r="AV152" s="1208"/>
      <c r="AW152" s="1208"/>
      <c r="AX152" s="1208"/>
      <c r="AY152" s="1208"/>
      <c r="AZ152" s="1208"/>
      <c r="BA152" s="1208"/>
      <c r="BB152" s="1208"/>
      <c r="BC152" s="1208"/>
      <c r="BD152" s="1208"/>
      <c r="BE152" s="1215"/>
    </row>
    <row r="153" spans="1:57" ht="15.75" customHeight="1">
      <c r="A153" s="1208"/>
      <c r="B153" s="2043"/>
      <c r="C153" s="2044"/>
      <c r="D153" s="2044"/>
      <c r="E153" s="2044"/>
      <c r="F153" s="2044"/>
      <c r="G153" s="2044"/>
      <c r="H153" s="2044"/>
      <c r="I153" s="2081"/>
      <c r="J153" s="2081"/>
      <c r="K153" s="2081"/>
      <c r="L153" s="2081"/>
      <c r="M153" s="2081"/>
      <c r="N153" s="2081"/>
      <c r="O153" s="2081"/>
      <c r="P153" s="2081"/>
      <c r="Q153" s="2081"/>
      <c r="R153" s="2081"/>
      <c r="S153" s="2081"/>
      <c r="T153" s="2081"/>
      <c r="U153" s="2082"/>
      <c r="V153" s="1208"/>
      <c r="W153" s="1208"/>
      <c r="X153" s="2043"/>
      <c r="Y153" s="2044"/>
      <c r="Z153" s="2044"/>
      <c r="AA153" s="2044"/>
      <c r="AB153" s="2044"/>
      <c r="AC153" s="2044"/>
      <c r="AD153" s="2044"/>
      <c r="AE153" s="2081"/>
      <c r="AF153" s="2081"/>
      <c r="AG153" s="2081"/>
      <c r="AH153" s="2081"/>
      <c r="AI153" s="2081"/>
      <c r="AJ153" s="2081"/>
      <c r="AK153" s="2081"/>
      <c r="AL153" s="2081"/>
      <c r="AM153" s="2081"/>
      <c r="AN153" s="2081"/>
      <c r="AO153" s="2081"/>
      <c r="AP153" s="2081"/>
      <c r="AQ153" s="2082"/>
      <c r="AR153" s="1208"/>
      <c r="AS153" s="1208"/>
      <c r="AT153" s="1208"/>
      <c r="AU153" s="1208"/>
      <c r="AV153" s="1208"/>
      <c r="AW153" s="1208"/>
      <c r="AX153" s="1208"/>
      <c r="AY153" s="1208"/>
      <c r="AZ153" s="1208"/>
      <c r="BA153" s="1208"/>
      <c r="BB153" s="1208"/>
      <c r="BC153" s="1208"/>
      <c r="BD153" s="1208"/>
      <c r="BE153" s="1215"/>
    </row>
    <row r="154" spans="1:57" ht="15.75" customHeight="1" thickBot="1">
      <c r="A154" s="1208"/>
      <c r="B154" s="2077" t="s">
        <v>2285</v>
      </c>
      <c r="C154" s="2078"/>
      <c r="D154" s="2078"/>
      <c r="E154" s="2078"/>
      <c r="F154" s="2078"/>
      <c r="G154" s="2078"/>
      <c r="H154" s="2078"/>
      <c r="I154" s="2079">
        <v>0</v>
      </c>
      <c r="J154" s="2079"/>
      <c r="K154" s="2079"/>
      <c r="L154" s="2079"/>
      <c r="M154" s="2079"/>
      <c r="N154" s="2079"/>
      <c r="O154" s="2079"/>
      <c r="P154" s="2079">
        <v>0</v>
      </c>
      <c r="Q154" s="2079"/>
      <c r="R154" s="2079"/>
      <c r="S154" s="2079"/>
      <c r="T154" s="2079"/>
      <c r="U154" s="2080"/>
      <c r="V154" s="1208"/>
      <c r="W154" s="1208"/>
      <c r="X154" s="2071" t="s">
        <v>2285</v>
      </c>
      <c r="Y154" s="2072"/>
      <c r="Z154" s="2072"/>
      <c r="AA154" s="2072"/>
      <c r="AB154" s="2072"/>
      <c r="AC154" s="2072"/>
      <c r="AD154" s="2072"/>
      <c r="AE154" s="2073">
        <v>0</v>
      </c>
      <c r="AF154" s="2073"/>
      <c r="AG154" s="2073"/>
      <c r="AH154" s="2073"/>
      <c r="AI154" s="2073"/>
      <c r="AJ154" s="2073"/>
      <c r="AK154" s="2073"/>
      <c r="AL154" s="2073">
        <v>0</v>
      </c>
      <c r="AM154" s="2073"/>
      <c r="AN154" s="2073"/>
      <c r="AO154" s="2073"/>
      <c r="AP154" s="2073"/>
      <c r="AQ154" s="2074"/>
      <c r="AR154" s="1208"/>
      <c r="AS154" s="1208"/>
      <c r="AT154" s="1208"/>
      <c r="AU154" s="1208"/>
      <c r="AV154" s="1208"/>
      <c r="AW154" s="1208"/>
      <c r="AX154" s="1208"/>
      <c r="AY154" s="1208"/>
      <c r="AZ154" s="1208"/>
      <c r="BA154" s="1208"/>
      <c r="BB154" s="1208"/>
      <c r="BC154" s="1208"/>
      <c r="BD154" s="1208"/>
      <c r="BE154" s="1215"/>
    </row>
    <row r="155" spans="1:57" ht="15.75" customHeight="1" thickBot="1">
      <c r="A155" s="1208"/>
      <c r="B155" s="2071" t="s">
        <v>2284</v>
      </c>
      <c r="C155" s="2072"/>
      <c r="D155" s="2072"/>
      <c r="E155" s="2072"/>
      <c r="F155" s="2072"/>
      <c r="G155" s="2072"/>
      <c r="H155" s="2072"/>
      <c r="I155" s="2073">
        <v>0</v>
      </c>
      <c r="J155" s="2073"/>
      <c r="K155" s="2073"/>
      <c r="L155" s="2073"/>
      <c r="M155" s="2073"/>
      <c r="N155" s="2073"/>
      <c r="O155" s="2073"/>
      <c r="P155" s="2073">
        <v>0</v>
      </c>
      <c r="Q155" s="2073"/>
      <c r="R155" s="2073"/>
      <c r="S155" s="2073"/>
      <c r="T155" s="2073"/>
      <c r="U155" s="2074"/>
      <c r="V155" s="1208"/>
      <c r="W155" s="1208"/>
      <c r="X155" s="1208"/>
      <c r="Y155" s="1208"/>
      <c r="Z155" s="1208"/>
      <c r="AA155" s="1208"/>
      <c r="AB155" s="1208"/>
      <c r="AC155" s="1208"/>
      <c r="AD155" s="1208"/>
      <c r="AE155" s="1208"/>
      <c r="AF155" s="1208"/>
      <c r="AG155" s="1208"/>
      <c r="AH155" s="1208"/>
      <c r="AI155" s="1208"/>
      <c r="AJ155" s="1208"/>
      <c r="AK155" s="1208"/>
      <c r="AL155" s="1208"/>
      <c r="AM155" s="1208"/>
      <c r="AN155" s="1208"/>
      <c r="AO155" s="1208"/>
      <c r="AP155" s="1208"/>
      <c r="AQ155" s="1208"/>
      <c r="AR155" s="1208"/>
      <c r="AS155" s="1208"/>
      <c r="AT155" s="1208"/>
      <c r="AU155" s="1208"/>
      <c r="AV155" s="1208"/>
      <c r="AW155" s="1208"/>
      <c r="AX155" s="1208"/>
      <c r="AY155" s="1208"/>
      <c r="AZ155" s="1208"/>
      <c r="BA155" s="1208"/>
      <c r="BB155" s="1208"/>
      <c r="BC155" s="1208"/>
      <c r="BD155" s="1208"/>
      <c r="BE155" s="1215"/>
    </row>
    <row r="156" spans="1:57" ht="15.75" customHeight="1" thickBot="1">
      <c r="A156" s="1208"/>
      <c r="B156" s="1208"/>
      <c r="C156" s="1208"/>
      <c r="D156" s="1208"/>
      <c r="E156" s="1208"/>
      <c r="F156" s="1208"/>
      <c r="G156" s="1208"/>
      <c r="H156" s="1208"/>
      <c r="I156" s="1208"/>
      <c r="J156" s="1208"/>
      <c r="K156" s="1208"/>
      <c r="L156" s="1208"/>
      <c r="M156" s="1208"/>
      <c r="N156" s="1208"/>
      <c r="O156" s="1208"/>
      <c r="P156" s="1208"/>
      <c r="Q156" s="1208"/>
      <c r="R156" s="1208"/>
      <c r="S156" s="1208"/>
      <c r="T156" s="1208"/>
      <c r="U156" s="1208"/>
      <c r="V156" s="1208"/>
      <c r="W156" s="1208"/>
      <c r="X156" s="1208"/>
      <c r="Y156" s="1208"/>
      <c r="Z156" s="1208"/>
      <c r="AA156" s="1208"/>
      <c r="AB156" s="1208"/>
      <c r="AC156" s="1208"/>
      <c r="AD156" s="1208"/>
      <c r="AE156" s="1208"/>
      <c r="AF156" s="1208"/>
      <c r="AG156" s="1208"/>
      <c r="AH156" s="1208"/>
      <c r="AI156" s="1208"/>
      <c r="AJ156" s="1208"/>
      <c r="AK156" s="1208"/>
      <c r="AL156" s="1208"/>
      <c r="AM156" s="1208"/>
      <c r="AN156" s="1208"/>
      <c r="AO156" s="1208"/>
      <c r="AP156" s="1208"/>
      <c r="AQ156" s="1208"/>
      <c r="AR156" s="1208"/>
      <c r="AS156" s="1208"/>
      <c r="AT156" s="1208"/>
      <c r="AU156" s="1208"/>
      <c r="AV156" s="1208"/>
      <c r="AW156" s="1208"/>
      <c r="AX156" s="1208"/>
      <c r="AY156" s="1208"/>
      <c r="AZ156" s="1208"/>
      <c r="BA156" s="1208"/>
      <c r="BB156" s="1208"/>
      <c r="BC156" s="1208"/>
      <c r="BD156" s="1208"/>
      <c r="BE156" s="1215"/>
    </row>
    <row r="157" spans="1:57" ht="15.75" customHeight="1">
      <c r="A157" s="1208"/>
      <c r="B157" s="1208"/>
      <c r="C157" s="2075" t="s">
        <v>2283</v>
      </c>
      <c r="D157" s="2031"/>
      <c r="E157" s="2031"/>
      <c r="F157" s="2031"/>
      <c r="G157" s="2031"/>
      <c r="H157" s="2031"/>
      <c r="I157" s="2031"/>
      <c r="J157" s="2031"/>
      <c r="K157" s="2031"/>
      <c r="L157" s="2031"/>
      <c r="M157" s="2031"/>
      <c r="N157" s="2031"/>
      <c r="O157" s="2031"/>
      <c r="P157" s="2031"/>
      <c r="Q157" s="2031"/>
      <c r="R157" s="2031"/>
      <c r="S157" s="2031"/>
      <c r="T157" s="2031"/>
      <c r="U157" s="2031"/>
      <c r="V157" s="2031"/>
      <c r="W157" s="2031"/>
      <c r="X157" s="2031"/>
      <c r="Y157" s="2031"/>
      <c r="Z157" s="2031"/>
      <c r="AA157" s="2031"/>
      <c r="AB157" s="2031"/>
      <c r="AC157" s="2031"/>
      <c r="AD157" s="2031"/>
      <c r="AE157" s="2031"/>
      <c r="AF157" s="2031"/>
      <c r="AG157" s="2032"/>
      <c r="AH157" s="1208"/>
      <c r="AI157" s="1208"/>
      <c r="AJ157" s="1208"/>
      <c r="AK157" s="1208"/>
      <c r="AL157" s="1208"/>
      <c r="AM157" s="1208"/>
      <c r="AN157" s="1208"/>
      <c r="AO157" s="1208"/>
      <c r="AP157" s="1208"/>
      <c r="AQ157" s="1208"/>
      <c r="AR157" s="1208"/>
      <c r="AS157" s="1208"/>
      <c r="AT157" s="1208"/>
      <c r="AU157" s="1208"/>
      <c r="AV157" s="1208"/>
      <c r="AW157" s="1208"/>
      <c r="AX157" s="1208"/>
      <c r="AY157" s="1208"/>
      <c r="AZ157" s="1208"/>
      <c r="BA157" s="1208"/>
      <c r="BB157" s="1208"/>
      <c r="BC157" s="1208"/>
      <c r="BD157" s="1208"/>
      <c r="BE157" s="1215"/>
    </row>
    <row r="158" spans="1:57" ht="15.75" customHeight="1">
      <c r="A158" s="1208"/>
      <c r="B158" s="1208"/>
      <c r="C158" s="2043" t="s">
        <v>2268</v>
      </c>
      <c r="D158" s="2044"/>
      <c r="E158" s="2044"/>
      <c r="F158" s="2044"/>
      <c r="G158" s="2044"/>
      <c r="H158" s="2044"/>
      <c r="I158" s="2044"/>
      <c r="J158" s="2044"/>
      <c r="K158" s="2044"/>
      <c r="L158" s="2044"/>
      <c r="M158" s="2044"/>
      <c r="N158" s="2044"/>
      <c r="O158" s="2044"/>
      <c r="P158" s="2044"/>
      <c r="Q158" s="2044" t="s">
        <v>2282</v>
      </c>
      <c r="R158" s="2044"/>
      <c r="S158" s="2044"/>
      <c r="T158" s="2076" t="s">
        <v>2281</v>
      </c>
      <c r="U158" s="2076"/>
      <c r="V158" s="2076"/>
      <c r="W158" s="2076"/>
      <c r="X158" s="2076"/>
      <c r="Y158" s="2076"/>
      <c r="Z158" s="2076"/>
      <c r="AA158" s="2076"/>
      <c r="AB158" s="2044" t="s">
        <v>2280</v>
      </c>
      <c r="AC158" s="2044"/>
      <c r="AD158" s="2044"/>
      <c r="AE158" s="2044"/>
      <c r="AF158" s="2044"/>
      <c r="AG158" s="2045"/>
      <c r="AH158" s="1208"/>
      <c r="AI158" s="1208"/>
      <c r="AJ158" s="1208"/>
      <c r="AK158" s="1208"/>
      <c r="AL158" s="1208"/>
      <c r="AM158" s="1208"/>
      <c r="AN158" s="1208"/>
      <c r="AO158" s="1208"/>
      <c r="AP158" s="1208"/>
      <c r="AQ158" s="1208"/>
      <c r="AR158" s="1208"/>
      <c r="AS158" s="1208"/>
      <c r="AT158" s="1208"/>
      <c r="AU158" s="1208"/>
      <c r="AV158" s="1208"/>
      <c r="AW158" s="1208"/>
      <c r="AX158" s="1208"/>
      <c r="AY158" s="1208"/>
      <c r="AZ158" s="1208"/>
      <c r="BA158" s="1208"/>
      <c r="BB158" s="1208"/>
      <c r="BC158" s="1208"/>
      <c r="BD158" s="1208"/>
      <c r="BE158" s="1215"/>
    </row>
    <row r="159" spans="1:57" ht="15.75" customHeight="1">
      <c r="A159" s="1208"/>
      <c r="B159" s="1208"/>
      <c r="C159" s="2058" t="s">
        <v>2279</v>
      </c>
      <c r="D159" s="2059"/>
      <c r="E159" s="2059"/>
      <c r="F159" s="2059"/>
      <c r="G159" s="2059"/>
      <c r="H159" s="2059"/>
      <c r="I159" s="2059"/>
      <c r="J159" s="2059"/>
      <c r="K159" s="2059"/>
      <c r="L159" s="2059"/>
      <c r="M159" s="2059"/>
      <c r="N159" s="2059"/>
      <c r="O159" s="2059"/>
      <c r="P159" s="2059"/>
      <c r="Q159" s="2001">
        <v>55</v>
      </c>
      <c r="R159" s="2001"/>
      <c r="S159" s="2001"/>
      <c r="T159" s="2052"/>
      <c r="U159" s="2052"/>
      <c r="V159" s="2052"/>
      <c r="W159" s="2052"/>
      <c r="X159" s="2052"/>
      <c r="Y159" s="2052"/>
      <c r="Z159" s="2052"/>
      <c r="AA159" s="2052"/>
      <c r="AB159" s="1246"/>
      <c r="AC159" s="1246"/>
      <c r="AD159" s="1246"/>
      <c r="AE159" s="1246"/>
      <c r="AF159" s="1246"/>
      <c r="AG159" s="1247"/>
      <c r="AH159" s="1208"/>
      <c r="AI159" s="1208"/>
      <c r="AJ159" s="1208"/>
      <c r="AK159" s="1208"/>
      <c r="AL159" s="1208"/>
      <c r="AM159" s="1208"/>
      <c r="AN159" s="1208"/>
      <c r="AO159" s="1208"/>
      <c r="AP159" s="1208" t="s">
        <v>250</v>
      </c>
      <c r="AQ159" s="1208"/>
      <c r="AR159" s="1208"/>
      <c r="AS159" s="1208"/>
      <c r="AT159" s="1208"/>
      <c r="AU159" s="1208"/>
      <c r="AV159" s="1208"/>
      <c r="AW159" s="1208"/>
      <c r="AX159" s="1208"/>
      <c r="AY159" s="1208"/>
      <c r="AZ159" s="1208"/>
      <c r="BA159" s="1208"/>
      <c r="BB159" s="1208"/>
      <c r="BC159" s="1208"/>
      <c r="BD159" s="1208"/>
      <c r="BE159" s="1215"/>
    </row>
    <row r="160" spans="1:57" ht="15.75" customHeight="1">
      <c r="A160" s="1208"/>
      <c r="B160" s="1208"/>
      <c r="C160" s="2058" t="s">
        <v>2278</v>
      </c>
      <c r="D160" s="2059"/>
      <c r="E160" s="2059"/>
      <c r="F160" s="2059"/>
      <c r="G160" s="2059"/>
      <c r="H160" s="2059"/>
      <c r="I160" s="2059"/>
      <c r="J160" s="2059"/>
      <c r="K160" s="2059"/>
      <c r="L160" s="2059"/>
      <c r="M160" s="2059"/>
      <c r="N160" s="2059"/>
      <c r="O160" s="2059"/>
      <c r="P160" s="2059"/>
      <c r="Q160" s="2001">
        <v>55</v>
      </c>
      <c r="R160" s="2001"/>
      <c r="S160" s="2001"/>
      <c r="T160" s="2061"/>
      <c r="U160" s="2061"/>
      <c r="V160" s="2061"/>
      <c r="W160" s="2061"/>
      <c r="X160" s="2061"/>
      <c r="Y160" s="2061"/>
      <c r="Z160" s="2061"/>
      <c r="AA160" s="2061"/>
      <c r="AB160" s="1246"/>
      <c r="AC160" s="1246"/>
      <c r="AD160" s="1246"/>
      <c r="AE160" s="1246"/>
      <c r="AF160" s="1246"/>
      <c r="AG160" s="1247"/>
      <c r="AH160" s="1208"/>
      <c r="AI160" s="1208"/>
      <c r="AJ160" s="1208"/>
      <c r="AK160" s="1208"/>
      <c r="AL160" s="1208"/>
      <c r="AM160" s="1208"/>
      <c r="AN160" s="1208"/>
      <c r="AO160" s="1208"/>
      <c r="AP160" s="1208"/>
      <c r="AQ160" s="1208"/>
      <c r="AR160" s="1208"/>
      <c r="AS160" s="1208"/>
      <c r="AT160" s="1208"/>
      <c r="AU160" s="1208"/>
      <c r="AV160" s="1208"/>
      <c r="AW160" s="1208"/>
      <c r="AX160" s="1208"/>
      <c r="AY160" s="1208"/>
      <c r="AZ160" s="1208"/>
      <c r="BA160" s="1208"/>
      <c r="BB160" s="1208"/>
      <c r="BC160" s="1208"/>
      <c r="BD160" s="1208"/>
      <c r="BE160" s="1215"/>
    </row>
    <row r="161" spans="1:57" ht="15.75" customHeight="1">
      <c r="A161" s="1208"/>
      <c r="B161" s="1208"/>
      <c r="C161" s="2058" t="s">
        <v>2277</v>
      </c>
      <c r="D161" s="2059"/>
      <c r="E161" s="2059"/>
      <c r="F161" s="2059"/>
      <c r="G161" s="2059"/>
      <c r="H161" s="2059"/>
      <c r="I161" s="2059"/>
      <c r="J161" s="2059"/>
      <c r="K161" s="2059"/>
      <c r="L161" s="2059"/>
      <c r="M161" s="2059"/>
      <c r="N161" s="2059"/>
      <c r="O161" s="2059"/>
      <c r="P161" s="2059"/>
      <c r="Q161" s="2001">
        <v>55</v>
      </c>
      <c r="R161" s="2001"/>
      <c r="S161" s="2001"/>
      <c r="T161" s="2052"/>
      <c r="U161" s="2052"/>
      <c r="V161" s="2052"/>
      <c r="W161" s="2052"/>
      <c r="X161" s="2052"/>
      <c r="Y161" s="2052"/>
      <c r="Z161" s="2052"/>
      <c r="AA161" s="2052"/>
      <c r="AB161" s="1246"/>
      <c r="AC161" s="1246"/>
      <c r="AD161" s="1246"/>
      <c r="AE161" s="1246"/>
      <c r="AF161" s="1246"/>
      <c r="AG161" s="1247"/>
      <c r="AH161" s="1208"/>
      <c r="AI161" s="1208"/>
      <c r="AJ161" s="1208"/>
      <c r="AK161" s="1208"/>
      <c r="AL161" s="1208"/>
      <c r="AM161" s="1208"/>
      <c r="AN161" s="1208"/>
      <c r="AO161" s="1208"/>
      <c r="AP161" s="1208"/>
      <c r="AQ161" s="1208"/>
      <c r="AR161" s="1208"/>
      <c r="AS161" s="1208"/>
      <c r="AT161" s="1208"/>
      <c r="AU161" s="1208"/>
      <c r="AV161" s="1208"/>
      <c r="AW161" s="1208"/>
      <c r="AX161" s="1208"/>
      <c r="AY161" s="1208"/>
      <c r="AZ161" s="1208"/>
      <c r="BA161" s="1208"/>
      <c r="BB161" s="1208"/>
      <c r="BC161" s="1208"/>
      <c r="BD161" s="1208"/>
      <c r="BE161" s="1215"/>
    </row>
    <row r="162" spans="1:57" ht="15.75" customHeight="1">
      <c r="A162" s="1208"/>
      <c r="B162" s="1208"/>
      <c r="C162" s="2058" t="s">
        <v>2276</v>
      </c>
      <c r="D162" s="2059"/>
      <c r="E162" s="2059"/>
      <c r="F162" s="2059"/>
      <c r="G162" s="2059"/>
      <c r="H162" s="2059"/>
      <c r="I162" s="2059"/>
      <c r="J162" s="2059"/>
      <c r="K162" s="2059"/>
      <c r="L162" s="2059"/>
      <c r="M162" s="2059"/>
      <c r="N162" s="2059"/>
      <c r="O162" s="2059"/>
      <c r="P162" s="2059"/>
      <c r="Q162" s="2001">
        <v>55</v>
      </c>
      <c r="R162" s="2001"/>
      <c r="S162" s="2001"/>
      <c r="T162" s="2052"/>
      <c r="U162" s="2052"/>
      <c r="V162" s="2052"/>
      <c r="W162" s="2052"/>
      <c r="X162" s="2052"/>
      <c r="Y162" s="2052"/>
      <c r="Z162" s="2052"/>
      <c r="AA162" s="2052"/>
      <c r="AB162" s="2062">
        <v>0</v>
      </c>
      <c r="AC162" s="2062"/>
      <c r="AD162" s="2062"/>
      <c r="AE162" s="2062"/>
      <c r="AF162" s="2062"/>
      <c r="AG162" s="2063"/>
      <c r="AH162" s="1208"/>
      <c r="AI162" s="1208"/>
      <c r="AJ162" s="1208"/>
      <c r="AK162" s="1208"/>
      <c r="AL162" s="1208"/>
      <c r="AM162" s="1208"/>
      <c r="AN162" s="1208"/>
      <c r="AO162" s="1208"/>
      <c r="AP162" s="1208"/>
      <c r="AQ162" s="1208"/>
      <c r="AR162" s="1208"/>
      <c r="AS162" s="1208"/>
      <c r="AT162" s="1208"/>
      <c r="AU162" s="1208"/>
      <c r="AV162" s="1208"/>
      <c r="AW162" s="1208"/>
      <c r="AX162" s="1208"/>
      <c r="AY162" s="1208"/>
      <c r="AZ162" s="1208"/>
      <c r="BA162" s="1208"/>
      <c r="BB162" s="1208"/>
      <c r="BC162" s="1208"/>
      <c r="BD162" s="1208"/>
      <c r="BE162" s="1215"/>
    </row>
    <row r="163" spans="1:57" ht="15.75" customHeight="1">
      <c r="A163" s="1208"/>
      <c r="B163" s="1208"/>
      <c r="C163" s="2058" t="s">
        <v>170</v>
      </c>
      <c r="D163" s="2059"/>
      <c r="E163" s="2059"/>
      <c r="F163" s="2060" t="s">
        <v>2257</v>
      </c>
      <c r="G163" s="2060"/>
      <c r="H163" s="2060"/>
      <c r="I163" s="2060"/>
      <c r="J163" s="2060"/>
      <c r="K163" s="2060"/>
      <c r="L163" s="2060"/>
      <c r="M163" s="2060"/>
      <c r="N163" s="2060"/>
      <c r="O163" s="2060"/>
      <c r="P163" s="2060"/>
      <c r="Q163" s="2001">
        <v>55</v>
      </c>
      <c r="R163" s="2001"/>
      <c r="S163" s="2001"/>
      <c r="T163" s="2061"/>
      <c r="U163" s="2061"/>
      <c r="V163" s="2061"/>
      <c r="W163" s="2061"/>
      <c r="X163" s="2061"/>
      <c r="Y163" s="2061"/>
      <c r="Z163" s="2061"/>
      <c r="AA163" s="2061"/>
      <c r="AB163" s="2062">
        <v>0</v>
      </c>
      <c r="AC163" s="2062"/>
      <c r="AD163" s="2062"/>
      <c r="AE163" s="2062"/>
      <c r="AF163" s="2062"/>
      <c r="AG163" s="2063"/>
      <c r="AH163" s="1208"/>
      <c r="AI163" s="1208"/>
      <c r="AJ163" s="1208"/>
      <c r="AK163" s="1208"/>
      <c r="AL163" s="1208"/>
      <c r="AM163" s="1208"/>
      <c r="AN163" s="1208"/>
      <c r="AO163" s="1208"/>
      <c r="AP163" s="1208"/>
      <c r="AQ163" s="1208"/>
      <c r="AR163" s="1208"/>
      <c r="AS163" s="1208"/>
      <c r="AT163" s="1208"/>
      <c r="AU163" s="1208"/>
      <c r="AV163" s="1208"/>
      <c r="AW163" s="1208"/>
      <c r="AX163" s="1208"/>
      <c r="AY163" s="1208"/>
      <c r="AZ163" s="1208"/>
      <c r="BA163" s="1208"/>
      <c r="BB163" s="1208"/>
      <c r="BC163" s="1208"/>
      <c r="BD163" s="1208"/>
      <c r="BE163" s="1215"/>
    </row>
    <row r="164" spans="1:57" ht="15.75" customHeight="1">
      <c r="A164" s="1208"/>
      <c r="B164" s="1208"/>
      <c r="C164" s="2058" t="s">
        <v>170</v>
      </c>
      <c r="D164" s="2059"/>
      <c r="E164" s="2059"/>
      <c r="F164" s="2060" t="s">
        <v>2257</v>
      </c>
      <c r="G164" s="2060"/>
      <c r="H164" s="2060"/>
      <c r="I164" s="2060"/>
      <c r="J164" s="2060"/>
      <c r="K164" s="2060"/>
      <c r="L164" s="2060"/>
      <c r="M164" s="2060"/>
      <c r="N164" s="2060"/>
      <c r="O164" s="2060"/>
      <c r="P164" s="2060"/>
      <c r="Q164" s="2001">
        <v>55</v>
      </c>
      <c r="R164" s="2001"/>
      <c r="S164" s="2001"/>
      <c r="T164" s="2061"/>
      <c r="U164" s="2061"/>
      <c r="V164" s="2061"/>
      <c r="W164" s="2061"/>
      <c r="X164" s="2061"/>
      <c r="Y164" s="2061"/>
      <c r="Z164" s="2061"/>
      <c r="AA164" s="2061"/>
      <c r="AB164" s="2062">
        <v>0</v>
      </c>
      <c r="AC164" s="2062"/>
      <c r="AD164" s="2062"/>
      <c r="AE164" s="2062"/>
      <c r="AF164" s="2062"/>
      <c r="AG164" s="2063"/>
      <c r="AH164" s="1208"/>
      <c r="AI164" s="1208"/>
      <c r="AJ164" s="1208"/>
      <c r="AK164" s="1208" t="s">
        <v>250</v>
      </c>
      <c r="AL164" s="1208"/>
      <c r="AM164" s="1208"/>
      <c r="AN164" s="1208"/>
      <c r="AO164" s="1208"/>
      <c r="AP164" s="1208"/>
      <c r="AQ164" s="1208"/>
      <c r="AR164" s="1208"/>
      <c r="AS164" s="1208"/>
      <c r="AT164" s="1208"/>
      <c r="AU164" s="1208"/>
      <c r="AV164" s="1208"/>
      <c r="AW164" s="1208"/>
      <c r="AX164" s="1208"/>
      <c r="AY164" s="1208"/>
      <c r="AZ164" s="1208"/>
      <c r="BA164" s="1208"/>
      <c r="BB164" s="1208"/>
      <c r="BC164" s="1208"/>
      <c r="BD164" s="1208"/>
      <c r="BE164" s="1215"/>
    </row>
    <row r="165" spans="1:57" ht="15.75" customHeight="1" thickBot="1">
      <c r="A165" s="1208"/>
      <c r="B165" s="1208"/>
      <c r="C165" s="2064" t="s">
        <v>170</v>
      </c>
      <c r="D165" s="2065"/>
      <c r="E165" s="2065"/>
      <c r="F165" s="2066" t="s">
        <v>2257</v>
      </c>
      <c r="G165" s="2066"/>
      <c r="H165" s="2066"/>
      <c r="I165" s="2066"/>
      <c r="J165" s="2066"/>
      <c r="K165" s="2066"/>
      <c r="L165" s="2066"/>
      <c r="M165" s="2066"/>
      <c r="N165" s="2066"/>
      <c r="O165" s="2066"/>
      <c r="P165" s="2066"/>
      <c r="Q165" s="2067">
        <v>55</v>
      </c>
      <c r="R165" s="2067"/>
      <c r="S165" s="2067"/>
      <c r="T165" s="2068"/>
      <c r="U165" s="2068"/>
      <c r="V165" s="2068"/>
      <c r="W165" s="2068"/>
      <c r="X165" s="2068"/>
      <c r="Y165" s="2068"/>
      <c r="Z165" s="2068"/>
      <c r="AA165" s="2068"/>
      <c r="AB165" s="2069">
        <v>0</v>
      </c>
      <c r="AC165" s="2069"/>
      <c r="AD165" s="2069"/>
      <c r="AE165" s="2069"/>
      <c r="AF165" s="2069"/>
      <c r="AG165" s="2070"/>
      <c r="AH165" s="1208"/>
      <c r="AI165" s="1208"/>
      <c r="AJ165" s="1208"/>
      <c r="AK165" s="1208"/>
      <c r="AL165" s="1208"/>
      <c r="AM165" s="1208"/>
      <c r="AN165" s="1208"/>
      <c r="AO165" s="1208"/>
      <c r="AP165" s="1208"/>
      <c r="AQ165" s="1208"/>
      <c r="AR165" s="1208"/>
      <c r="AS165" s="1208"/>
      <c r="AT165" s="1208"/>
      <c r="AU165" s="1208"/>
      <c r="AV165" s="1208"/>
      <c r="AW165" s="1208"/>
      <c r="AX165" s="1208"/>
      <c r="AY165" s="1208"/>
      <c r="AZ165" s="1208"/>
      <c r="BA165" s="1208"/>
      <c r="BB165" s="1208"/>
      <c r="BC165" s="1208"/>
      <c r="BD165" s="1208"/>
      <c r="BE165" s="1215"/>
    </row>
    <row r="166" spans="1:57" ht="15.75" customHeight="1" thickBot="1">
      <c r="A166" s="1208"/>
      <c r="B166" s="1208"/>
      <c r="C166" s="1208"/>
      <c r="D166" s="1208"/>
      <c r="E166" s="1208"/>
      <c r="F166" s="1208"/>
      <c r="G166" s="1208"/>
      <c r="H166" s="1208"/>
      <c r="I166" s="1208"/>
      <c r="J166" s="1208"/>
      <c r="K166" s="1208"/>
      <c r="L166" s="1208"/>
      <c r="M166" s="1208"/>
      <c r="N166" s="1208"/>
      <c r="O166" s="1208"/>
      <c r="P166" s="1208"/>
      <c r="Q166" s="1208"/>
      <c r="R166" s="1208"/>
      <c r="S166" s="1208"/>
      <c r="T166" s="1208"/>
      <c r="U166" s="1208"/>
      <c r="V166" s="1208"/>
      <c r="W166" s="1208"/>
      <c r="X166" s="1208"/>
      <c r="Y166" s="1208"/>
      <c r="Z166" s="1208"/>
      <c r="AA166" s="1208"/>
      <c r="AB166" s="1208"/>
      <c r="AC166" s="1208"/>
      <c r="AD166" s="1208"/>
      <c r="AE166" s="1208"/>
      <c r="AF166" s="1208"/>
      <c r="AG166" s="1208"/>
      <c r="AH166" s="1208"/>
      <c r="AI166" s="1208"/>
      <c r="AJ166" s="1208"/>
      <c r="AK166" s="1208"/>
      <c r="AL166" s="1208"/>
      <c r="AM166" s="1208"/>
      <c r="AN166" s="1208"/>
      <c r="AO166" s="1208"/>
      <c r="AP166" s="1208"/>
      <c r="AQ166" s="1208"/>
      <c r="AR166" s="1208"/>
      <c r="AS166" s="1208"/>
      <c r="AT166" s="1208"/>
      <c r="AU166" s="1208"/>
      <c r="AV166" s="1208"/>
      <c r="AW166" s="1208"/>
      <c r="AX166" s="1208"/>
      <c r="AY166" s="1208"/>
      <c r="AZ166" s="1208"/>
      <c r="BA166" s="1208"/>
      <c r="BB166" s="1208"/>
      <c r="BC166" s="1208"/>
      <c r="BD166" s="1208"/>
      <c r="BE166" s="1215"/>
    </row>
    <row r="167" spans="1:57" ht="15.75" customHeight="1">
      <c r="A167" s="1208"/>
      <c r="B167" s="1208"/>
      <c r="C167" s="2029" t="s">
        <v>2275</v>
      </c>
      <c r="D167" s="2030"/>
      <c r="E167" s="2030"/>
      <c r="F167" s="2030"/>
      <c r="G167" s="2030"/>
      <c r="H167" s="2030"/>
      <c r="I167" s="2030"/>
      <c r="J167" s="2030"/>
      <c r="K167" s="2030"/>
      <c r="L167" s="2030"/>
      <c r="M167" s="2030"/>
      <c r="N167" s="2039"/>
      <c r="O167" s="1208"/>
      <c r="P167" s="2040" t="s">
        <v>2274</v>
      </c>
      <c r="Q167" s="2041"/>
      <c r="R167" s="2041"/>
      <c r="S167" s="2041"/>
      <c r="T167" s="2041"/>
      <c r="U167" s="2041"/>
      <c r="V167" s="2041"/>
      <c r="W167" s="2041"/>
      <c r="X167" s="2041"/>
      <c r="Y167" s="2041"/>
      <c r="Z167" s="2041"/>
      <c r="AA167" s="2041"/>
      <c r="AB167" s="2041"/>
      <c r="AC167" s="2041"/>
      <c r="AD167" s="2041"/>
      <c r="AE167" s="2041"/>
      <c r="AF167" s="2041"/>
      <c r="AG167" s="2041"/>
      <c r="AH167" s="2041"/>
      <c r="AI167" s="2041"/>
      <c r="AJ167" s="2041"/>
      <c r="AK167" s="2041"/>
      <c r="AL167" s="2041"/>
      <c r="AM167" s="2041"/>
      <c r="AN167" s="2041"/>
      <c r="AO167" s="2042"/>
      <c r="AP167" s="1208"/>
      <c r="AQ167" s="1208"/>
      <c r="AR167" s="1208"/>
      <c r="AS167" s="1208"/>
      <c r="AT167" s="1208"/>
      <c r="AU167" s="1208"/>
      <c r="AV167" s="1208"/>
      <c r="AW167" s="1208"/>
      <c r="AX167" s="1208"/>
      <c r="AY167" s="1208"/>
      <c r="AZ167" s="1208"/>
      <c r="BA167" s="1208"/>
      <c r="BB167" s="1208"/>
      <c r="BC167" s="1208"/>
      <c r="BD167" s="1208"/>
      <c r="BE167" s="1215"/>
    </row>
    <row r="168" spans="1:57" ht="15.75" customHeight="1">
      <c r="A168" s="1208"/>
      <c r="B168" s="1208"/>
      <c r="C168" s="2043" t="s">
        <v>2273</v>
      </c>
      <c r="D168" s="2044"/>
      <c r="E168" s="2044"/>
      <c r="F168" s="2044"/>
      <c r="G168" s="2044"/>
      <c r="H168" s="2044"/>
      <c r="I168" s="2044" t="s">
        <v>2272</v>
      </c>
      <c r="J168" s="2044"/>
      <c r="K168" s="2044"/>
      <c r="L168" s="2044"/>
      <c r="M168" s="2044"/>
      <c r="N168" s="2045"/>
      <c r="O168" s="1208"/>
      <c r="P168" s="2046" t="s">
        <v>2271</v>
      </c>
      <c r="Q168" s="2047"/>
      <c r="R168" s="2047"/>
      <c r="S168" s="2047"/>
      <c r="T168" s="2047"/>
      <c r="U168" s="2047"/>
      <c r="V168" s="2047"/>
      <c r="W168" s="2047"/>
      <c r="X168" s="2047"/>
      <c r="Y168" s="2047"/>
      <c r="Z168" s="2047"/>
      <c r="AA168" s="2047"/>
      <c r="AB168" s="2047"/>
      <c r="AC168" s="2047"/>
      <c r="AD168" s="2047"/>
      <c r="AE168" s="2047"/>
      <c r="AF168" s="2047"/>
      <c r="AG168" s="2047"/>
      <c r="AH168" s="2047"/>
      <c r="AI168" s="2047"/>
      <c r="AJ168" s="2047"/>
      <c r="AK168" s="2047"/>
      <c r="AL168" s="2047"/>
      <c r="AM168" s="2047"/>
      <c r="AN168" s="2047"/>
      <c r="AO168" s="2048"/>
      <c r="AP168" s="1208"/>
      <c r="AQ168" s="1208"/>
      <c r="AR168" s="1208"/>
      <c r="AS168" s="1208"/>
      <c r="AT168" s="1208"/>
      <c r="AU168" s="1208"/>
      <c r="AV168" s="1208"/>
      <c r="AW168" s="1208"/>
      <c r="AX168" s="1208"/>
      <c r="AY168" s="1208"/>
      <c r="AZ168" s="1208"/>
      <c r="BA168" s="1208"/>
      <c r="BB168" s="1208"/>
      <c r="BC168" s="1208"/>
      <c r="BD168" s="1208"/>
      <c r="BE168" s="1215"/>
    </row>
    <row r="169" spans="1:57" ht="15.75" customHeight="1">
      <c r="A169" s="1208"/>
      <c r="B169" s="1208"/>
      <c r="C169" s="1991"/>
      <c r="D169" s="1992"/>
      <c r="E169" s="1992"/>
      <c r="F169" s="1992"/>
      <c r="G169" s="1992"/>
      <c r="H169" s="1992"/>
      <c r="I169" s="2052"/>
      <c r="J169" s="2052"/>
      <c r="K169" s="2052"/>
      <c r="L169" s="2052"/>
      <c r="M169" s="2052"/>
      <c r="N169" s="2053"/>
      <c r="O169" s="1208"/>
      <c r="P169" s="2046"/>
      <c r="Q169" s="2047"/>
      <c r="R169" s="2047"/>
      <c r="S169" s="2047"/>
      <c r="T169" s="2047"/>
      <c r="U169" s="2047"/>
      <c r="V169" s="2047"/>
      <c r="W169" s="2047"/>
      <c r="X169" s="2047"/>
      <c r="Y169" s="2047"/>
      <c r="Z169" s="2047"/>
      <c r="AA169" s="2047"/>
      <c r="AB169" s="2047"/>
      <c r="AC169" s="2047"/>
      <c r="AD169" s="2047"/>
      <c r="AE169" s="2047"/>
      <c r="AF169" s="2047"/>
      <c r="AG169" s="2047"/>
      <c r="AH169" s="2047"/>
      <c r="AI169" s="2047"/>
      <c r="AJ169" s="2047"/>
      <c r="AK169" s="2047"/>
      <c r="AL169" s="2047"/>
      <c r="AM169" s="2047"/>
      <c r="AN169" s="2047"/>
      <c r="AO169" s="2048"/>
      <c r="AP169" s="1208"/>
      <c r="AQ169" s="1208"/>
      <c r="AR169" s="1208"/>
      <c r="AS169" s="1208"/>
      <c r="AT169" s="1208"/>
      <c r="AU169" s="1208"/>
      <c r="AV169" s="1208"/>
      <c r="AW169" s="1208"/>
      <c r="AX169" s="1208"/>
      <c r="AY169" s="1208"/>
      <c r="AZ169" s="1208"/>
      <c r="BA169" s="1208"/>
      <c r="BB169" s="1208"/>
      <c r="BC169" s="1208"/>
      <c r="BD169" s="1208"/>
      <c r="BE169" s="1215"/>
    </row>
    <row r="170" spans="1:57" ht="15.75" customHeight="1">
      <c r="A170" s="1208"/>
      <c r="B170" s="1208"/>
      <c r="C170" s="1991"/>
      <c r="D170" s="1992"/>
      <c r="E170" s="1992"/>
      <c r="F170" s="1992"/>
      <c r="G170" s="1992"/>
      <c r="H170" s="1992"/>
      <c r="I170" s="2052"/>
      <c r="J170" s="2052"/>
      <c r="K170" s="2052"/>
      <c r="L170" s="2052"/>
      <c r="M170" s="2052"/>
      <c r="N170" s="2053"/>
      <c r="O170" s="1208"/>
      <c r="P170" s="2046"/>
      <c r="Q170" s="2047"/>
      <c r="R170" s="2047"/>
      <c r="S170" s="2047"/>
      <c r="T170" s="2047"/>
      <c r="U170" s="2047"/>
      <c r="V170" s="2047"/>
      <c r="W170" s="2047"/>
      <c r="X170" s="2047"/>
      <c r="Y170" s="2047"/>
      <c r="Z170" s="2047"/>
      <c r="AA170" s="2047"/>
      <c r="AB170" s="2047"/>
      <c r="AC170" s="2047"/>
      <c r="AD170" s="2047"/>
      <c r="AE170" s="2047"/>
      <c r="AF170" s="2047"/>
      <c r="AG170" s="2047"/>
      <c r="AH170" s="2047"/>
      <c r="AI170" s="2047"/>
      <c r="AJ170" s="2047"/>
      <c r="AK170" s="2047"/>
      <c r="AL170" s="2047"/>
      <c r="AM170" s="2047"/>
      <c r="AN170" s="2047"/>
      <c r="AO170" s="2048"/>
      <c r="AP170" s="1208"/>
      <c r="AQ170" s="1208"/>
      <c r="AR170" s="1208"/>
      <c r="AS170" s="1208"/>
      <c r="AT170" s="1208"/>
      <c r="AU170" s="1208"/>
      <c r="AV170" s="1208"/>
      <c r="AW170" s="1208"/>
      <c r="AX170" s="1208"/>
      <c r="AY170" s="1208"/>
      <c r="AZ170" s="1208"/>
      <c r="BA170" s="1208"/>
      <c r="BB170" s="1208"/>
      <c r="BC170" s="1208"/>
      <c r="BD170" s="1208"/>
      <c r="BE170" s="1215"/>
    </row>
    <row r="171" spans="1:57" ht="15.75" customHeight="1">
      <c r="A171" s="1208"/>
      <c r="B171" s="1208"/>
      <c r="C171" s="1991"/>
      <c r="D171" s="1992"/>
      <c r="E171" s="1992"/>
      <c r="F171" s="1992"/>
      <c r="G171" s="1992"/>
      <c r="H171" s="1992"/>
      <c r="I171" s="2052"/>
      <c r="J171" s="2052"/>
      <c r="K171" s="2052"/>
      <c r="L171" s="2052"/>
      <c r="M171" s="2052"/>
      <c r="N171" s="2053"/>
      <c r="O171" s="1208"/>
      <c r="P171" s="2046"/>
      <c r="Q171" s="2047"/>
      <c r="R171" s="2047"/>
      <c r="S171" s="2047"/>
      <c r="T171" s="2047"/>
      <c r="U171" s="2047"/>
      <c r="V171" s="2047"/>
      <c r="W171" s="2047"/>
      <c r="X171" s="2047"/>
      <c r="Y171" s="2047"/>
      <c r="Z171" s="2047"/>
      <c r="AA171" s="2047"/>
      <c r="AB171" s="2047"/>
      <c r="AC171" s="2047"/>
      <c r="AD171" s="2047"/>
      <c r="AE171" s="2047"/>
      <c r="AF171" s="2047"/>
      <c r="AG171" s="2047"/>
      <c r="AH171" s="2047"/>
      <c r="AI171" s="2047"/>
      <c r="AJ171" s="2047"/>
      <c r="AK171" s="2047"/>
      <c r="AL171" s="2047"/>
      <c r="AM171" s="2047"/>
      <c r="AN171" s="2047"/>
      <c r="AO171" s="2048"/>
      <c r="AP171" s="1208"/>
      <c r="AQ171" s="1208"/>
      <c r="AR171" s="1208"/>
      <c r="AS171" s="1208"/>
      <c r="AT171" s="1208"/>
      <c r="AU171" s="1208"/>
      <c r="AV171" s="1208"/>
      <c r="AW171" s="1208"/>
      <c r="AX171" s="1208"/>
      <c r="AY171" s="1208"/>
      <c r="AZ171" s="1208"/>
      <c r="BA171" s="1208"/>
      <c r="BB171" s="1208"/>
      <c r="BC171" s="1208"/>
      <c r="BD171" s="1208"/>
      <c r="BE171" s="1215"/>
    </row>
    <row r="172" spans="1:57" ht="15.75" customHeight="1">
      <c r="A172" s="1208"/>
      <c r="B172" s="1208"/>
      <c r="C172" s="1991"/>
      <c r="D172" s="1992"/>
      <c r="E172" s="1992"/>
      <c r="F172" s="1992"/>
      <c r="G172" s="1992"/>
      <c r="H172" s="1992"/>
      <c r="I172" s="2052"/>
      <c r="J172" s="2052"/>
      <c r="K172" s="2052"/>
      <c r="L172" s="2052"/>
      <c r="M172" s="2052"/>
      <c r="N172" s="2053"/>
      <c r="O172" s="1208"/>
      <c r="P172" s="2046"/>
      <c r="Q172" s="2047"/>
      <c r="R172" s="2047"/>
      <c r="S172" s="2047"/>
      <c r="T172" s="2047"/>
      <c r="U172" s="2047"/>
      <c r="V172" s="2047"/>
      <c r="W172" s="2047"/>
      <c r="X172" s="2047"/>
      <c r="Y172" s="2047"/>
      <c r="Z172" s="2047"/>
      <c r="AA172" s="2047"/>
      <c r="AB172" s="2047"/>
      <c r="AC172" s="2047"/>
      <c r="AD172" s="2047"/>
      <c r="AE172" s="2047"/>
      <c r="AF172" s="2047"/>
      <c r="AG172" s="2047"/>
      <c r="AH172" s="2047"/>
      <c r="AI172" s="2047"/>
      <c r="AJ172" s="2047"/>
      <c r="AK172" s="2047"/>
      <c r="AL172" s="2047"/>
      <c r="AM172" s="2047"/>
      <c r="AN172" s="2047"/>
      <c r="AO172" s="2048"/>
      <c r="AP172" s="1208"/>
      <c r="AQ172" s="1208"/>
      <c r="AR172" s="1208"/>
      <c r="AS172" s="1208"/>
      <c r="AT172" s="1208"/>
      <c r="AU172" s="1208"/>
      <c r="AV172" s="1208"/>
      <c r="AW172" s="1208"/>
      <c r="AX172" s="1208"/>
      <c r="AY172" s="1208"/>
      <c r="AZ172" s="1208"/>
      <c r="BA172" s="1208"/>
      <c r="BB172" s="1208"/>
      <c r="BC172" s="1208"/>
      <c r="BD172" s="1208"/>
      <c r="BE172" s="1215"/>
    </row>
    <row r="173" spans="1:57" ht="15.75" customHeight="1">
      <c r="A173" s="1208"/>
      <c r="B173" s="1208"/>
      <c r="C173" s="1991"/>
      <c r="D173" s="1992"/>
      <c r="E173" s="1992"/>
      <c r="F173" s="1992"/>
      <c r="G173" s="1992"/>
      <c r="H173" s="1992"/>
      <c r="I173" s="2052"/>
      <c r="J173" s="2052"/>
      <c r="K173" s="2052"/>
      <c r="L173" s="2052"/>
      <c r="M173" s="2052"/>
      <c r="N173" s="2053"/>
      <c r="O173" s="1208"/>
      <c r="P173" s="2046"/>
      <c r="Q173" s="2047"/>
      <c r="R173" s="2047"/>
      <c r="S173" s="2047"/>
      <c r="T173" s="2047"/>
      <c r="U173" s="2047"/>
      <c r="V173" s="2047"/>
      <c r="W173" s="2047"/>
      <c r="X173" s="2047"/>
      <c r="Y173" s="2047"/>
      <c r="Z173" s="2047"/>
      <c r="AA173" s="2047"/>
      <c r="AB173" s="2047"/>
      <c r="AC173" s="2047"/>
      <c r="AD173" s="2047"/>
      <c r="AE173" s="2047"/>
      <c r="AF173" s="2047"/>
      <c r="AG173" s="2047"/>
      <c r="AH173" s="2047"/>
      <c r="AI173" s="2047"/>
      <c r="AJ173" s="2047"/>
      <c r="AK173" s="2047"/>
      <c r="AL173" s="2047"/>
      <c r="AM173" s="2047"/>
      <c r="AN173" s="2047"/>
      <c r="AO173" s="2048"/>
      <c r="AP173" s="1208"/>
      <c r="AQ173" s="1208"/>
      <c r="AR173" s="1208"/>
      <c r="AS173" s="1208"/>
      <c r="AT173" s="1208"/>
      <c r="AU173" s="1208"/>
      <c r="AV173" s="1208"/>
      <c r="AW173" s="1208"/>
      <c r="AX173" s="1208"/>
      <c r="AY173" s="1208"/>
      <c r="AZ173" s="1208"/>
      <c r="BA173" s="1208"/>
      <c r="BB173" s="1208"/>
      <c r="BC173" s="1208"/>
      <c r="BD173" s="1208"/>
      <c r="BE173" s="1215"/>
    </row>
    <row r="174" spans="1:57" ht="15.75" customHeight="1">
      <c r="A174" s="1208"/>
      <c r="B174" s="1208"/>
      <c r="C174" s="1991"/>
      <c r="D174" s="1992"/>
      <c r="E174" s="1992"/>
      <c r="F174" s="1992"/>
      <c r="G174" s="1992"/>
      <c r="H174" s="1992"/>
      <c r="I174" s="2052"/>
      <c r="J174" s="2052"/>
      <c r="K174" s="2052"/>
      <c r="L174" s="2052"/>
      <c r="M174" s="2052"/>
      <c r="N174" s="2053"/>
      <c r="O174" s="1208"/>
      <c r="P174" s="2046"/>
      <c r="Q174" s="2047"/>
      <c r="R174" s="2047"/>
      <c r="S174" s="2047"/>
      <c r="T174" s="2047"/>
      <c r="U174" s="2047"/>
      <c r="V174" s="2047"/>
      <c r="W174" s="2047"/>
      <c r="X174" s="2047"/>
      <c r="Y174" s="2047"/>
      <c r="Z174" s="2047"/>
      <c r="AA174" s="2047"/>
      <c r="AB174" s="2047"/>
      <c r="AC174" s="2047"/>
      <c r="AD174" s="2047"/>
      <c r="AE174" s="2047"/>
      <c r="AF174" s="2047"/>
      <c r="AG174" s="2047"/>
      <c r="AH174" s="2047"/>
      <c r="AI174" s="2047"/>
      <c r="AJ174" s="2047"/>
      <c r="AK174" s="2047"/>
      <c r="AL174" s="2047"/>
      <c r="AM174" s="2047"/>
      <c r="AN174" s="2047"/>
      <c r="AO174" s="2048"/>
      <c r="AP174" s="1208"/>
      <c r="AQ174" s="1208"/>
      <c r="AR174" s="1208"/>
      <c r="AS174" s="1208"/>
      <c r="AT174" s="1208"/>
      <c r="AU174" s="1208"/>
      <c r="AV174" s="1208"/>
      <c r="AW174" s="1208"/>
      <c r="AX174" s="1208"/>
      <c r="AY174" s="1208"/>
      <c r="AZ174" s="1208"/>
      <c r="BA174" s="1208"/>
      <c r="BB174" s="1208"/>
      <c r="BC174" s="1208"/>
      <c r="BD174" s="1208"/>
      <c r="BE174" s="1215"/>
    </row>
    <row r="175" spans="1:57" ht="15.75" customHeight="1" thickBot="1">
      <c r="A175" s="1208"/>
      <c r="B175" s="1208"/>
      <c r="C175" s="2054"/>
      <c r="D175" s="2055"/>
      <c r="E175" s="2055"/>
      <c r="F175" s="2055"/>
      <c r="G175" s="2055"/>
      <c r="H175" s="2055"/>
      <c r="I175" s="2056"/>
      <c r="J175" s="2056"/>
      <c r="K175" s="2056"/>
      <c r="L175" s="2056"/>
      <c r="M175" s="2056"/>
      <c r="N175" s="2057"/>
      <c r="O175" s="1208"/>
      <c r="P175" s="2049"/>
      <c r="Q175" s="2050"/>
      <c r="R175" s="2050"/>
      <c r="S175" s="2050"/>
      <c r="T175" s="2050"/>
      <c r="U175" s="2050"/>
      <c r="V175" s="2050"/>
      <c r="W175" s="2050"/>
      <c r="X175" s="2050"/>
      <c r="Y175" s="2050"/>
      <c r="Z175" s="2050"/>
      <c r="AA175" s="2050"/>
      <c r="AB175" s="2050"/>
      <c r="AC175" s="2050"/>
      <c r="AD175" s="2050"/>
      <c r="AE175" s="2050"/>
      <c r="AF175" s="2050"/>
      <c r="AG175" s="2050"/>
      <c r="AH175" s="2050"/>
      <c r="AI175" s="2050"/>
      <c r="AJ175" s="2050"/>
      <c r="AK175" s="2050"/>
      <c r="AL175" s="2050"/>
      <c r="AM175" s="2050"/>
      <c r="AN175" s="2050"/>
      <c r="AO175" s="2051"/>
      <c r="AP175" s="1208"/>
      <c r="AQ175" s="1208"/>
      <c r="AR175" s="1208"/>
      <c r="AS175" s="1208"/>
      <c r="AT175" s="1208"/>
      <c r="AU175" s="1208"/>
      <c r="AV175" s="1208"/>
      <c r="AW175" s="1208"/>
      <c r="AX175" s="1208"/>
      <c r="AY175" s="1208"/>
      <c r="AZ175" s="1208"/>
      <c r="BA175" s="1208"/>
      <c r="BB175" s="1208"/>
      <c r="BC175" s="1208"/>
      <c r="BD175" s="1208"/>
      <c r="BE175" s="1215"/>
    </row>
    <row r="176" spans="1:57" ht="15.75" customHeight="1" thickBot="1">
      <c r="A176" s="1208"/>
      <c r="B176" s="1208"/>
      <c r="C176" s="1208"/>
      <c r="D176" s="1208"/>
      <c r="E176" s="1208"/>
      <c r="F176" s="1208"/>
      <c r="G176" s="1208"/>
      <c r="H176" s="1208"/>
      <c r="I176" s="1208"/>
      <c r="J176" s="1208"/>
      <c r="K176" s="1208"/>
      <c r="L176" s="1208"/>
      <c r="M176" s="1208"/>
      <c r="N176" s="1208"/>
      <c r="O176" s="1208"/>
      <c r="P176" s="1208"/>
      <c r="Q176" s="1208"/>
      <c r="R176" s="1208"/>
      <c r="S176" s="1208"/>
      <c r="T176" s="1208"/>
      <c r="U176" s="1208"/>
      <c r="V176" s="1208"/>
      <c r="W176" s="1208"/>
      <c r="X176" s="1208"/>
      <c r="Y176" s="1208"/>
      <c r="Z176" s="1208"/>
      <c r="AA176" s="1208"/>
      <c r="AB176" s="1208"/>
      <c r="AC176" s="1208"/>
      <c r="AD176" s="1208"/>
      <c r="AE176" s="1208"/>
      <c r="AF176" s="1208"/>
      <c r="AG176" s="1208"/>
      <c r="AH176" s="1208"/>
      <c r="AI176" s="1208"/>
      <c r="AJ176" s="1208"/>
      <c r="AK176" s="1208"/>
      <c r="AL176" s="1208"/>
      <c r="AM176" s="1208"/>
      <c r="AN176" s="1208"/>
      <c r="AO176" s="1208"/>
      <c r="AP176" s="1208"/>
      <c r="AQ176" s="1208"/>
      <c r="AR176" s="1208"/>
      <c r="AS176" s="1208"/>
      <c r="AT176" s="1208"/>
      <c r="AU176" s="1208"/>
      <c r="AV176" s="1208"/>
      <c r="AW176" s="1208"/>
      <c r="AX176" s="1208"/>
      <c r="AY176" s="1208"/>
      <c r="AZ176" s="1208"/>
      <c r="BA176" s="1208"/>
      <c r="BB176" s="1208"/>
      <c r="BC176" s="1208"/>
      <c r="BD176" s="1208"/>
      <c r="BE176" s="1215"/>
    </row>
    <row r="177" spans="1:57" ht="15.75" customHeight="1">
      <c r="A177" s="1208"/>
      <c r="B177" s="1208"/>
      <c r="C177" s="2020" t="s">
        <v>2270</v>
      </c>
      <c r="D177" s="2021"/>
      <c r="E177" s="2021"/>
      <c r="F177" s="2021"/>
      <c r="G177" s="2021"/>
      <c r="H177" s="2021"/>
      <c r="I177" s="2021"/>
      <c r="J177" s="2021"/>
      <c r="K177" s="2021"/>
      <c r="L177" s="2021"/>
      <c r="M177" s="2021"/>
      <c r="N177" s="2021"/>
      <c r="O177" s="2021"/>
      <c r="P177" s="2021"/>
      <c r="Q177" s="2021"/>
      <c r="R177" s="2021"/>
      <c r="S177" s="2021"/>
      <c r="T177" s="2021"/>
      <c r="U177" s="2021"/>
      <c r="V177" s="2021"/>
      <c r="W177" s="2021"/>
      <c r="X177" s="2021"/>
      <c r="Y177" s="2021"/>
      <c r="Z177" s="2021"/>
      <c r="AA177" s="2021"/>
      <c r="AB177" s="2021"/>
      <c r="AC177" s="2021"/>
      <c r="AD177" s="2021"/>
      <c r="AE177" s="2022"/>
      <c r="AF177" s="1208"/>
      <c r="AG177" s="1208"/>
      <c r="AH177" s="1905"/>
      <c r="AI177" s="1905"/>
      <c r="AJ177" s="1905"/>
      <c r="AK177" s="1905"/>
      <c r="AL177" s="1905"/>
      <c r="AM177" s="1905"/>
      <c r="AN177" s="1905"/>
      <c r="AO177" s="1905"/>
      <c r="AP177" s="1905"/>
      <c r="AQ177" s="1905"/>
      <c r="AR177" s="1905"/>
      <c r="AS177" s="1905"/>
      <c r="AT177" s="1905"/>
      <c r="AU177" s="1905"/>
      <c r="AV177" s="1905"/>
      <c r="AW177" s="1905"/>
      <c r="AX177" s="1905"/>
      <c r="AY177" s="1905"/>
      <c r="AZ177" s="1905"/>
      <c r="BA177" s="1905"/>
      <c r="BB177" s="1905"/>
      <c r="BC177" s="1905"/>
      <c r="BD177" s="1905"/>
      <c r="BE177" s="1905"/>
    </row>
    <row r="178" spans="1:57" ht="15.75" customHeight="1" thickBot="1">
      <c r="A178" s="1208"/>
      <c r="B178" s="1208"/>
      <c r="C178" s="2023"/>
      <c r="D178" s="2024"/>
      <c r="E178" s="2024"/>
      <c r="F178" s="2024"/>
      <c r="G178" s="2024"/>
      <c r="H178" s="2024"/>
      <c r="I178" s="2024"/>
      <c r="J178" s="2024"/>
      <c r="K178" s="2024"/>
      <c r="L178" s="2024"/>
      <c r="M178" s="2024"/>
      <c r="N178" s="2024"/>
      <c r="O178" s="2024"/>
      <c r="P178" s="2024"/>
      <c r="Q178" s="2024"/>
      <c r="R178" s="2024"/>
      <c r="S178" s="2024"/>
      <c r="T178" s="2024"/>
      <c r="U178" s="2024"/>
      <c r="V178" s="2024"/>
      <c r="W178" s="2024"/>
      <c r="X178" s="2024"/>
      <c r="Y178" s="2024"/>
      <c r="Z178" s="2024"/>
      <c r="AA178" s="2024"/>
      <c r="AB178" s="2024"/>
      <c r="AC178" s="2024"/>
      <c r="AD178" s="2024"/>
      <c r="AE178" s="2025"/>
      <c r="AF178" s="1208"/>
      <c r="AG178" s="1208"/>
      <c r="AH178" s="1905"/>
      <c r="AI178" s="1905"/>
      <c r="AJ178" s="1905"/>
      <c r="AK178" s="1905"/>
      <c r="AL178" s="1905"/>
      <c r="AM178" s="1905"/>
      <c r="AN178" s="1905"/>
      <c r="AO178" s="1905"/>
      <c r="AP178" s="1905"/>
      <c r="AQ178" s="1905"/>
      <c r="AR178" s="1905"/>
      <c r="AS178" s="1905"/>
      <c r="AT178" s="1905"/>
      <c r="AU178" s="1905"/>
      <c r="AV178" s="1905"/>
      <c r="AW178" s="1905"/>
      <c r="AX178" s="1905"/>
      <c r="AY178" s="1905"/>
      <c r="AZ178" s="1905"/>
      <c r="BA178" s="1905"/>
      <c r="BB178" s="1905"/>
      <c r="BC178" s="1905"/>
      <c r="BD178" s="1905"/>
      <c r="BE178" s="1905"/>
    </row>
    <row r="179" spans="1:57" ht="15.75" customHeight="1">
      <c r="A179" s="1208"/>
      <c r="B179" s="1208"/>
      <c r="C179" s="2029" t="s">
        <v>2268</v>
      </c>
      <c r="D179" s="2030"/>
      <c r="E179" s="2030"/>
      <c r="F179" s="2030"/>
      <c r="G179" s="2030"/>
      <c r="H179" s="2030"/>
      <c r="I179" s="2030"/>
      <c r="J179" s="2030"/>
      <c r="K179" s="2030"/>
      <c r="L179" s="2030"/>
      <c r="M179" s="2030"/>
      <c r="N179" s="2030" t="s">
        <v>2269</v>
      </c>
      <c r="O179" s="2030"/>
      <c r="P179" s="2030"/>
      <c r="Q179" s="2030"/>
      <c r="R179" s="2030"/>
      <c r="S179" s="2030"/>
      <c r="T179" s="2030"/>
      <c r="U179" s="2031" t="s">
        <v>2268</v>
      </c>
      <c r="V179" s="2031"/>
      <c r="W179" s="2031"/>
      <c r="X179" s="2031"/>
      <c r="Y179" s="2031"/>
      <c r="Z179" s="2031"/>
      <c r="AA179" s="2031"/>
      <c r="AB179" s="2031"/>
      <c r="AC179" s="2031"/>
      <c r="AD179" s="2031"/>
      <c r="AE179" s="2032"/>
      <c r="AF179" s="1208"/>
      <c r="AG179" s="1208"/>
      <c r="AH179" s="1905"/>
      <c r="AI179" s="1905"/>
      <c r="AJ179" s="1905"/>
      <c r="AK179" s="1905"/>
      <c r="AL179" s="1905"/>
      <c r="AM179" s="1905"/>
      <c r="AN179" s="1905"/>
      <c r="AO179" s="1905"/>
      <c r="AP179" s="1905"/>
      <c r="AQ179" s="1905"/>
      <c r="AR179" s="1905"/>
      <c r="AS179" s="1905"/>
      <c r="AT179" s="1905"/>
      <c r="AU179" s="1905"/>
      <c r="AV179" s="1905"/>
      <c r="AW179" s="1905"/>
      <c r="AX179" s="1905"/>
      <c r="AY179" s="1905"/>
      <c r="AZ179" s="1905"/>
      <c r="BA179" s="1905"/>
      <c r="BB179" s="1905"/>
      <c r="BC179" s="1905"/>
      <c r="BD179" s="1905"/>
      <c r="BE179" s="1905"/>
    </row>
    <row r="180" spans="1:57" ht="15.75" customHeight="1">
      <c r="A180" s="1208"/>
      <c r="B180" s="1208"/>
      <c r="C180" s="2008" t="s">
        <v>2267</v>
      </c>
      <c r="D180" s="2009"/>
      <c r="E180" s="2009"/>
      <c r="F180" s="2009"/>
      <c r="G180" s="2009"/>
      <c r="H180" s="2009"/>
      <c r="I180" s="2009"/>
      <c r="J180" s="2009"/>
      <c r="K180" s="2009"/>
      <c r="L180" s="2009"/>
      <c r="M180" s="2009"/>
      <c r="N180" s="2019">
        <f>'Sources and Uses Budget'!B105</f>
        <v>34183137</v>
      </c>
      <c r="O180" s="2019"/>
      <c r="P180" s="2019"/>
      <c r="Q180" s="2019"/>
      <c r="R180" s="2019"/>
      <c r="S180" s="2019"/>
      <c r="T180" s="2019"/>
      <c r="U180" s="2033"/>
      <c r="V180" s="2033"/>
      <c r="W180" s="2033"/>
      <c r="X180" s="2033"/>
      <c r="Y180" s="2033"/>
      <c r="Z180" s="2033"/>
      <c r="AA180" s="2033"/>
      <c r="AB180" s="2033"/>
      <c r="AC180" s="2033"/>
      <c r="AD180" s="2033"/>
      <c r="AE180" s="2034"/>
      <c r="AF180" s="1208"/>
      <c r="AG180" s="1208"/>
      <c r="AH180" s="1905"/>
      <c r="AI180" s="1905"/>
      <c r="AJ180" s="1905"/>
      <c r="AK180" s="1905"/>
      <c r="AL180" s="1905"/>
      <c r="AM180" s="1905"/>
      <c r="AN180" s="1905"/>
      <c r="AO180" s="1905"/>
      <c r="AP180" s="1905"/>
      <c r="AQ180" s="1905"/>
      <c r="AR180" s="1905"/>
      <c r="AS180" s="1905"/>
      <c r="AT180" s="1905"/>
      <c r="AU180" s="1905"/>
      <c r="AV180" s="1905"/>
      <c r="AW180" s="1905"/>
      <c r="AX180" s="1905"/>
      <c r="AY180" s="1905"/>
      <c r="AZ180" s="1905"/>
      <c r="BA180" s="1905"/>
      <c r="BB180" s="1905"/>
      <c r="BC180" s="1905"/>
      <c r="BD180" s="1905"/>
      <c r="BE180" s="1905"/>
    </row>
    <row r="181" spans="1:57" ht="15.75" customHeight="1">
      <c r="A181" s="1208"/>
      <c r="B181" s="1208"/>
      <c r="C181" s="2008" t="s">
        <v>2266</v>
      </c>
      <c r="D181" s="2009"/>
      <c r="E181" s="2009"/>
      <c r="F181" s="2009"/>
      <c r="G181" s="2009"/>
      <c r="H181" s="2009"/>
      <c r="I181" s="2009"/>
      <c r="J181" s="2009"/>
      <c r="K181" s="2009"/>
      <c r="L181" s="2009"/>
      <c r="M181" s="2009"/>
      <c r="N181" s="2019">
        <f>N180/J29</f>
        <v>697615.04081632651</v>
      </c>
      <c r="O181" s="2019"/>
      <c r="P181" s="2019"/>
      <c r="Q181" s="2019"/>
      <c r="R181" s="2019"/>
      <c r="S181" s="2019"/>
      <c r="T181" s="2019"/>
      <c r="U181" s="1248"/>
      <c r="V181" s="1248"/>
      <c r="W181" s="1248"/>
      <c r="X181" s="1248"/>
      <c r="Y181" s="1248"/>
      <c r="Z181" s="1248"/>
      <c r="AA181" s="1248"/>
      <c r="AB181" s="1248"/>
      <c r="AC181" s="1248"/>
      <c r="AD181" s="1248"/>
      <c r="AE181" s="1249"/>
      <c r="AF181" s="1208"/>
      <c r="AG181" s="1208"/>
      <c r="AH181" s="1905"/>
      <c r="AI181" s="1905"/>
      <c r="AJ181" s="1905"/>
      <c r="AK181" s="1905"/>
      <c r="AL181" s="1905"/>
      <c r="AM181" s="1905"/>
      <c r="AN181" s="1905"/>
      <c r="AO181" s="1905"/>
      <c r="AP181" s="1905"/>
      <c r="AQ181" s="1905"/>
      <c r="AR181" s="1905"/>
      <c r="AS181" s="1905"/>
      <c r="AT181" s="1905"/>
      <c r="AU181" s="1905"/>
      <c r="AV181" s="1905"/>
      <c r="AW181" s="1905"/>
      <c r="AX181" s="1905"/>
      <c r="AY181" s="1905"/>
      <c r="AZ181" s="1905"/>
      <c r="BA181" s="1905"/>
      <c r="BB181" s="1905"/>
      <c r="BC181" s="1905"/>
      <c r="BD181" s="1905"/>
      <c r="BE181" s="1905"/>
    </row>
    <row r="182" spans="1:57" ht="15.75" customHeight="1">
      <c r="A182" s="1208"/>
      <c r="B182" s="1208"/>
      <c r="C182" s="2035" t="s">
        <v>2265</v>
      </c>
      <c r="D182" s="2036"/>
      <c r="E182" s="2036"/>
      <c r="F182" s="2036"/>
      <c r="G182" s="2036"/>
      <c r="H182" s="2036"/>
      <c r="I182" s="2036"/>
      <c r="J182" s="2036"/>
      <c r="K182" s="2036"/>
      <c r="L182" s="2036"/>
      <c r="M182" s="2036"/>
      <c r="N182" s="2037">
        <v>0</v>
      </c>
      <c r="O182" s="2037"/>
      <c r="P182" s="2037"/>
      <c r="Q182" s="2037"/>
      <c r="R182" s="2037"/>
      <c r="S182" s="2037"/>
      <c r="T182" s="2037"/>
      <c r="U182" s="1995"/>
      <c r="V182" s="1995"/>
      <c r="W182" s="1995"/>
      <c r="X182" s="1995"/>
      <c r="Y182" s="1995"/>
      <c r="Z182" s="1995"/>
      <c r="AA182" s="1995"/>
      <c r="AB182" s="1995"/>
      <c r="AC182" s="1995"/>
      <c r="AD182" s="1995"/>
      <c r="AE182" s="1996"/>
      <c r="AF182" s="1208"/>
      <c r="AG182" s="1208"/>
      <c r="AH182" s="1905"/>
      <c r="AI182" s="1905"/>
      <c r="AJ182" s="1905"/>
      <c r="AK182" s="1905"/>
      <c r="AL182" s="1905"/>
      <c r="AM182" s="1905"/>
      <c r="AN182" s="1905"/>
      <c r="AO182" s="1905"/>
      <c r="AP182" s="1905"/>
      <c r="AQ182" s="1905"/>
      <c r="AR182" s="1905"/>
      <c r="AS182" s="1905"/>
      <c r="AT182" s="1905"/>
      <c r="AU182" s="1905"/>
      <c r="AV182" s="1905"/>
      <c r="AW182" s="1905"/>
      <c r="AX182" s="1905"/>
      <c r="AY182" s="1905"/>
      <c r="AZ182" s="1905"/>
      <c r="BA182" s="1905"/>
      <c r="BB182" s="1905"/>
      <c r="BC182" s="1905"/>
      <c r="BD182" s="1905"/>
      <c r="BE182" s="1905"/>
    </row>
    <row r="183" spans="1:57" ht="15.75" customHeight="1" thickBot="1">
      <c r="A183" s="1208"/>
      <c r="B183" s="1208"/>
      <c r="C183" s="2008" t="s">
        <v>2264</v>
      </c>
      <c r="D183" s="2009"/>
      <c r="E183" s="2009"/>
      <c r="F183" s="2009"/>
      <c r="G183" s="2009"/>
      <c r="H183" s="2009"/>
      <c r="I183" s="2009"/>
      <c r="J183" s="2009"/>
      <c r="K183" s="2009"/>
      <c r="L183" s="2009"/>
      <c r="M183" s="2009"/>
      <c r="N183" s="2038">
        <f>SUM('Sources and Uses Budget'!B85:B86)</f>
        <v>2550293</v>
      </c>
      <c r="O183" s="2038"/>
      <c r="P183" s="2038"/>
      <c r="Q183" s="2038"/>
      <c r="R183" s="2038"/>
      <c r="S183" s="2038"/>
      <c r="T183" s="2038"/>
      <c r="U183" s="1995"/>
      <c r="V183" s="1995"/>
      <c r="W183" s="1995"/>
      <c r="X183" s="1995"/>
      <c r="Y183" s="1995"/>
      <c r="Z183" s="1995"/>
      <c r="AA183" s="1995"/>
      <c r="AB183" s="1995"/>
      <c r="AC183" s="1995"/>
      <c r="AD183" s="1995"/>
      <c r="AE183" s="1996"/>
      <c r="AF183" s="1208"/>
      <c r="AG183" s="1208"/>
      <c r="AH183" s="1905"/>
      <c r="AI183" s="1905"/>
      <c r="AJ183" s="1905"/>
      <c r="AK183" s="1905"/>
      <c r="AL183" s="1905"/>
      <c r="AM183" s="1905"/>
      <c r="AN183" s="1905"/>
      <c r="AO183" s="1905"/>
      <c r="AP183" s="1905"/>
      <c r="AQ183" s="1905"/>
      <c r="AR183" s="1905"/>
      <c r="AS183" s="1905"/>
      <c r="AT183" s="1905"/>
      <c r="AU183" s="1905"/>
      <c r="AV183" s="1905"/>
      <c r="AW183" s="1905"/>
      <c r="AX183" s="1905"/>
      <c r="AY183" s="1905"/>
      <c r="AZ183" s="1905"/>
      <c r="BA183" s="1905"/>
      <c r="BB183" s="1905"/>
      <c r="BC183" s="1905"/>
      <c r="BD183" s="1905"/>
      <c r="BE183" s="1905"/>
    </row>
    <row r="184" spans="1:57" ht="15.75" customHeight="1" thickBot="1">
      <c r="A184" s="1208"/>
      <c r="B184" s="1208"/>
      <c r="C184" s="2008" t="s">
        <v>2263</v>
      </c>
      <c r="D184" s="2009"/>
      <c r="E184" s="2009"/>
      <c r="F184" s="2009"/>
      <c r="G184" s="2009"/>
      <c r="H184" s="2009"/>
      <c r="I184" s="2009"/>
      <c r="J184" s="2009"/>
      <c r="K184" s="2009"/>
      <c r="L184" s="2009"/>
      <c r="M184" s="2009"/>
      <c r="N184" s="2038">
        <f>'Sources and Uses Budget'!B8</f>
        <v>2660867</v>
      </c>
      <c r="O184" s="2038"/>
      <c r="P184" s="2038"/>
      <c r="Q184" s="2038"/>
      <c r="R184" s="2038"/>
      <c r="S184" s="2038"/>
      <c r="T184" s="2038"/>
      <c r="U184" s="1995"/>
      <c r="V184" s="1995"/>
      <c r="W184" s="1995"/>
      <c r="X184" s="1995"/>
      <c r="Y184" s="1995"/>
      <c r="Z184" s="1995"/>
      <c r="AA184" s="1995"/>
      <c r="AB184" s="1995"/>
      <c r="AC184" s="1995"/>
      <c r="AD184" s="1995"/>
      <c r="AE184" s="1996"/>
      <c r="AF184" s="1208"/>
      <c r="AG184" s="1208"/>
      <c r="AH184" s="2005" t="s">
        <v>2261</v>
      </c>
      <c r="AI184" s="2006"/>
      <c r="AJ184" s="2006"/>
      <c r="AK184" s="2006"/>
      <c r="AL184" s="2006"/>
      <c r="AM184" s="2006"/>
      <c r="AN184" s="2006"/>
      <c r="AO184" s="2006"/>
      <c r="AP184" s="2006"/>
      <c r="AQ184" s="2006"/>
      <c r="AR184" s="2006"/>
      <c r="AS184" s="2006"/>
      <c r="AT184" s="2006"/>
      <c r="AU184" s="2006"/>
      <c r="AV184" s="2006"/>
      <c r="AW184" s="2006"/>
      <c r="AX184" s="2006"/>
      <c r="AY184" s="2006"/>
      <c r="AZ184" s="2006"/>
      <c r="BA184" s="2006"/>
      <c r="BB184" s="2006"/>
      <c r="BC184" s="2006"/>
      <c r="BD184" s="2006"/>
      <c r="BE184" s="2007"/>
    </row>
    <row r="185" spans="1:57" ht="15.75" customHeight="1">
      <c r="A185" s="1208"/>
      <c r="B185" s="1208"/>
      <c r="C185" s="2008" t="s">
        <v>2262</v>
      </c>
      <c r="D185" s="2009"/>
      <c r="E185" s="2009"/>
      <c r="F185" s="2009"/>
      <c r="G185" s="2009"/>
      <c r="H185" s="2009"/>
      <c r="I185" s="2009"/>
      <c r="J185" s="2009"/>
      <c r="K185" s="2009"/>
      <c r="L185" s="2009"/>
      <c r="M185" s="2009"/>
      <c r="N185" s="1994">
        <v>0</v>
      </c>
      <c r="O185" s="1994"/>
      <c r="P185" s="1994"/>
      <c r="Q185" s="1994"/>
      <c r="R185" s="1994"/>
      <c r="S185" s="1994"/>
      <c r="T185" s="1994"/>
      <c r="U185" s="1995"/>
      <c r="V185" s="1995"/>
      <c r="W185" s="1995"/>
      <c r="X185" s="1995"/>
      <c r="Y185" s="1995"/>
      <c r="Z185" s="1995"/>
      <c r="AA185" s="1995"/>
      <c r="AB185" s="1995"/>
      <c r="AC185" s="1995"/>
      <c r="AD185" s="1995"/>
      <c r="AE185" s="1996"/>
      <c r="AF185" s="1208"/>
      <c r="AG185" s="1208"/>
      <c r="AH185" s="2010" t="s">
        <v>2261</v>
      </c>
      <c r="AI185" s="2011"/>
      <c r="AJ185" s="2011"/>
      <c r="AK185" s="2011"/>
      <c r="AL185" s="2011"/>
      <c r="AM185" s="2011"/>
      <c r="AN185" s="2011"/>
      <c r="AO185" s="2011"/>
      <c r="AP185" s="2011"/>
      <c r="AQ185" s="2011"/>
      <c r="AR185" s="2011"/>
      <c r="AS185" s="2011"/>
      <c r="AT185" s="2011"/>
      <c r="AU185" s="2012">
        <v>0</v>
      </c>
      <c r="AV185" s="2012"/>
      <c r="AW185" s="2012"/>
      <c r="AX185" s="2012"/>
      <c r="AY185" s="2012"/>
      <c r="AZ185" s="2012"/>
      <c r="BA185" s="2012"/>
      <c r="BB185" s="2012"/>
      <c r="BC185" s="2013"/>
      <c r="BD185" s="2014"/>
      <c r="BE185" s="2015"/>
    </row>
    <row r="186" spans="1:57" ht="15.75" customHeight="1">
      <c r="A186" s="1208"/>
      <c r="B186" s="1208"/>
      <c r="C186" s="2008" t="s">
        <v>2260</v>
      </c>
      <c r="D186" s="2009"/>
      <c r="E186" s="2009"/>
      <c r="F186" s="2009"/>
      <c r="G186" s="2009"/>
      <c r="H186" s="2009"/>
      <c r="I186" s="2009"/>
      <c r="J186" s="2009"/>
      <c r="K186" s="2009"/>
      <c r="L186" s="2009"/>
      <c r="M186" s="2009"/>
      <c r="N186" s="1994">
        <v>0</v>
      </c>
      <c r="O186" s="1994"/>
      <c r="P186" s="1994"/>
      <c r="Q186" s="1994"/>
      <c r="R186" s="1994"/>
      <c r="S186" s="1994"/>
      <c r="T186" s="1994"/>
      <c r="U186" s="1995"/>
      <c r="V186" s="1995"/>
      <c r="W186" s="1995"/>
      <c r="X186" s="1995"/>
      <c r="Y186" s="1995"/>
      <c r="Z186" s="1995"/>
      <c r="AA186" s="1995"/>
      <c r="AB186" s="1995"/>
      <c r="AC186" s="1995"/>
      <c r="AD186" s="1995"/>
      <c r="AE186" s="1996"/>
      <c r="AF186" s="1208"/>
      <c r="AG186" s="1208"/>
      <c r="AH186" s="2026" t="s">
        <v>2259</v>
      </c>
      <c r="AI186" s="2027"/>
      <c r="AJ186" s="2027"/>
      <c r="AK186" s="2027"/>
      <c r="AL186" s="2027"/>
      <c r="AM186" s="2027"/>
      <c r="AN186" s="2027"/>
      <c r="AO186" s="2027"/>
      <c r="AP186" s="2027"/>
      <c r="AQ186" s="2027"/>
      <c r="AR186" s="2027"/>
      <c r="AS186" s="2027"/>
      <c r="AT186" s="2027"/>
      <c r="AU186" s="2028"/>
      <c r="AV186" s="2028"/>
      <c r="AW186" s="2028"/>
      <c r="AX186" s="2028"/>
      <c r="AY186" s="2028"/>
      <c r="AZ186" s="2028"/>
      <c r="BA186" s="2028"/>
      <c r="BB186" s="2028"/>
      <c r="BC186" s="2016"/>
      <c r="BD186" s="2017"/>
      <c r="BE186" s="2018"/>
    </row>
    <row r="187" spans="1:57" ht="15.75" customHeight="1">
      <c r="A187" s="1208"/>
      <c r="B187" s="1208"/>
      <c r="C187" s="2000" t="s">
        <v>300</v>
      </c>
      <c r="D187" s="2001"/>
      <c r="E187" s="1993" t="s">
        <v>2257</v>
      </c>
      <c r="F187" s="1993"/>
      <c r="G187" s="1993"/>
      <c r="H187" s="1993"/>
      <c r="I187" s="1993"/>
      <c r="J187" s="1993"/>
      <c r="K187" s="1993"/>
      <c r="L187" s="1993"/>
      <c r="M187" s="1993"/>
      <c r="N187" s="1994">
        <v>0</v>
      </c>
      <c r="O187" s="1994"/>
      <c r="P187" s="1994"/>
      <c r="Q187" s="1994"/>
      <c r="R187" s="1994"/>
      <c r="S187" s="1994"/>
      <c r="T187" s="1994"/>
      <c r="U187" s="1995"/>
      <c r="V187" s="1995"/>
      <c r="W187" s="1995"/>
      <c r="X187" s="1995"/>
      <c r="Y187" s="1995"/>
      <c r="Z187" s="1995"/>
      <c r="AA187" s="1995"/>
      <c r="AB187" s="1995"/>
      <c r="AC187" s="1995"/>
      <c r="AD187" s="1995"/>
      <c r="AE187" s="1996"/>
      <c r="AF187" s="1208"/>
      <c r="AG187" s="1208"/>
      <c r="AH187" s="2002" t="s">
        <v>2258</v>
      </c>
      <c r="AI187" s="2003"/>
      <c r="AJ187" s="2003"/>
      <c r="AK187" s="2003"/>
      <c r="AL187" s="2003"/>
      <c r="AM187" s="2003"/>
      <c r="AN187" s="2003"/>
      <c r="AO187" s="2003"/>
      <c r="AP187" s="2003"/>
      <c r="AQ187" s="2003"/>
      <c r="AR187" s="2003"/>
      <c r="AS187" s="2003"/>
      <c r="AT187" s="2003"/>
      <c r="AU187" s="2004">
        <f>SUM(AU185:BB186)</f>
        <v>0</v>
      </c>
      <c r="AV187" s="2004"/>
      <c r="AW187" s="2004"/>
      <c r="AX187" s="2004"/>
      <c r="AY187" s="2004"/>
      <c r="AZ187" s="2004"/>
      <c r="BA187" s="2004"/>
      <c r="BB187" s="2004"/>
      <c r="BC187" s="2016"/>
      <c r="BD187" s="2017"/>
      <c r="BE187" s="2018"/>
    </row>
    <row r="188" spans="1:57" ht="15.75" customHeight="1" thickBot="1">
      <c r="A188" s="1208"/>
      <c r="B188" s="1208"/>
      <c r="C188" s="1991" t="s">
        <v>300</v>
      </c>
      <c r="D188" s="1992"/>
      <c r="E188" s="1993" t="s">
        <v>2257</v>
      </c>
      <c r="F188" s="1993"/>
      <c r="G188" s="1993"/>
      <c r="H188" s="1993"/>
      <c r="I188" s="1993"/>
      <c r="J188" s="1993"/>
      <c r="K188" s="1993"/>
      <c r="L188" s="1993"/>
      <c r="M188" s="1993"/>
      <c r="N188" s="1994">
        <v>0</v>
      </c>
      <c r="O188" s="1994"/>
      <c r="P188" s="1994"/>
      <c r="Q188" s="1994"/>
      <c r="R188" s="1994"/>
      <c r="S188" s="1994"/>
      <c r="T188" s="1994"/>
      <c r="U188" s="1995"/>
      <c r="V188" s="1995"/>
      <c r="W188" s="1995"/>
      <c r="X188" s="1995"/>
      <c r="Y188" s="1995"/>
      <c r="Z188" s="1995"/>
      <c r="AA188" s="1995"/>
      <c r="AB188" s="1995"/>
      <c r="AC188" s="1995"/>
      <c r="AD188" s="1995"/>
      <c r="AE188" s="1996"/>
      <c r="AF188" s="1208"/>
      <c r="AG188" s="1208"/>
      <c r="AH188" s="1250"/>
      <c r="AI188" s="1251"/>
      <c r="AJ188" s="1251"/>
      <c r="AK188" s="1251"/>
      <c r="AL188" s="1251"/>
      <c r="AM188" s="1251"/>
      <c r="AN188" s="1251"/>
      <c r="AO188" s="1251"/>
      <c r="AP188" s="1251"/>
      <c r="AQ188" s="1251"/>
      <c r="AR188" s="1251"/>
      <c r="AS188" s="1251"/>
      <c r="AT188" s="1251"/>
      <c r="AU188" s="1251"/>
      <c r="AV188" s="1251"/>
      <c r="AW188" s="1251"/>
      <c r="AX188" s="1251"/>
      <c r="AY188" s="1251"/>
      <c r="AZ188" s="1251"/>
      <c r="BA188" s="1251"/>
      <c r="BB188" s="1251"/>
      <c r="BC188" s="1997"/>
      <c r="BD188" s="1998"/>
      <c r="BE188" s="1999"/>
    </row>
    <row r="189" spans="1:57" ht="15.75" customHeight="1" thickBot="1">
      <c r="A189" s="1208"/>
      <c r="B189" s="1208"/>
      <c r="C189" s="1979" t="s">
        <v>300</v>
      </c>
      <c r="D189" s="1980"/>
      <c r="E189" s="1981" t="s">
        <v>2257</v>
      </c>
      <c r="F189" s="1981"/>
      <c r="G189" s="1981"/>
      <c r="H189" s="1981"/>
      <c r="I189" s="1981"/>
      <c r="J189" s="1981"/>
      <c r="K189" s="1981"/>
      <c r="L189" s="1981"/>
      <c r="M189" s="1982"/>
      <c r="N189" s="1983">
        <v>0</v>
      </c>
      <c r="O189" s="1983"/>
      <c r="P189" s="1983"/>
      <c r="Q189" s="1983"/>
      <c r="R189" s="1983"/>
      <c r="S189" s="1983"/>
      <c r="T189" s="1984"/>
      <c r="U189" s="1985"/>
      <c r="V189" s="1986"/>
      <c r="W189" s="1986"/>
      <c r="X189" s="1986"/>
      <c r="Y189" s="1986"/>
      <c r="Z189" s="1986"/>
      <c r="AA189" s="1986"/>
      <c r="AB189" s="1986"/>
      <c r="AC189" s="1986"/>
      <c r="AD189" s="1986"/>
      <c r="AE189" s="1987"/>
      <c r="AF189" s="1208"/>
      <c r="AG189" s="1208"/>
      <c r="AH189" s="1988" t="s">
        <v>2256</v>
      </c>
      <c r="AI189" s="1989"/>
      <c r="AJ189" s="1989"/>
      <c r="AK189" s="1989"/>
      <c r="AL189" s="1989"/>
      <c r="AM189" s="1989"/>
      <c r="AN189" s="1989"/>
      <c r="AO189" s="1989"/>
      <c r="AP189" s="1989"/>
      <c r="AQ189" s="1989"/>
      <c r="AR189" s="1989"/>
      <c r="AS189" s="1989"/>
      <c r="AT189" s="1989"/>
      <c r="AU189" s="1990"/>
      <c r="AV189" s="1990"/>
      <c r="AW189" s="1990"/>
      <c r="AX189" s="1990"/>
      <c r="AY189" s="1990"/>
      <c r="AZ189" s="1990"/>
      <c r="BA189" s="1990"/>
      <c r="BB189" s="1990"/>
      <c r="BC189" s="1164"/>
      <c r="BD189" s="1164"/>
      <c r="BE189" s="1252"/>
    </row>
    <row r="190" spans="1:57" ht="15.75" customHeight="1">
      <c r="A190" s="1208"/>
      <c r="B190" s="1208"/>
      <c r="C190" s="1962" t="s">
        <v>2255</v>
      </c>
      <c r="D190" s="1963"/>
      <c r="E190" s="1963"/>
      <c r="F190" s="1963"/>
      <c r="G190" s="1963"/>
      <c r="H190" s="1963"/>
      <c r="I190" s="1963"/>
      <c r="J190" s="1963"/>
      <c r="K190" s="1963"/>
      <c r="L190" s="1963"/>
      <c r="M190" s="1963"/>
      <c r="N190" s="1964">
        <f>SUM(N182:T189)</f>
        <v>5211160</v>
      </c>
      <c r="O190" s="1964"/>
      <c r="P190" s="1964"/>
      <c r="Q190" s="1964"/>
      <c r="R190" s="1964"/>
      <c r="S190" s="1964"/>
      <c r="T190" s="1965"/>
      <c r="U190" s="1208"/>
      <c r="V190" s="1208"/>
      <c r="W190" s="1208"/>
      <c r="X190" s="1208"/>
      <c r="Y190" s="1208"/>
      <c r="Z190" s="1208"/>
      <c r="AA190" s="1208"/>
      <c r="AB190" s="1208"/>
      <c r="AC190" s="1208"/>
      <c r="AD190" s="1208"/>
      <c r="AE190" s="1208"/>
      <c r="AF190" s="1208"/>
      <c r="AG190" s="1208"/>
      <c r="AH190" s="1966" t="s">
        <v>2254</v>
      </c>
      <c r="AI190" s="1967"/>
      <c r="AJ190" s="1967"/>
      <c r="AK190" s="1967"/>
      <c r="AL190" s="1967"/>
      <c r="AM190" s="1967"/>
      <c r="AN190" s="1967"/>
      <c r="AO190" s="1967"/>
      <c r="AP190" s="1967"/>
      <c r="AQ190" s="1967"/>
      <c r="AR190" s="1967"/>
      <c r="AS190" s="1967"/>
      <c r="AT190" s="1967"/>
      <c r="AU190" s="1967"/>
      <c r="AV190" s="1967"/>
      <c r="AW190" s="1967"/>
      <c r="AX190" s="1967"/>
      <c r="AY190" s="1967"/>
      <c r="AZ190" s="1967"/>
      <c r="BA190" s="1967"/>
      <c r="BB190" s="1967"/>
      <c r="BC190" s="1967"/>
      <c r="BD190" s="1967"/>
      <c r="BE190" s="1968"/>
    </row>
    <row r="191" spans="1:57" ht="15.75" customHeight="1" thickBot="1">
      <c r="A191" s="1208"/>
      <c r="B191" s="1208"/>
      <c r="C191" s="1972" t="s">
        <v>2253</v>
      </c>
      <c r="D191" s="1973"/>
      <c r="E191" s="1973"/>
      <c r="F191" s="1973"/>
      <c r="G191" s="1973"/>
      <c r="H191" s="1973"/>
      <c r="I191" s="1973"/>
      <c r="J191" s="1973"/>
      <c r="K191" s="1973"/>
      <c r="L191" s="1973"/>
      <c r="M191" s="1973"/>
      <c r="N191" s="1974">
        <f>(N180-N190)/J29</f>
        <v>591264.83673469385</v>
      </c>
      <c r="O191" s="1975"/>
      <c r="P191" s="1975"/>
      <c r="Q191" s="1975"/>
      <c r="R191" s="1975"/>
      <c r="S191" s="1975"/>
      <c r="T191" s="1976"/>
      <c r="U191" s="1216"/>
      <c r="V191" s="1208"/>
      <c r="W191" s="1208"/>
      <c r="X191" s="1208"/>
      <c r="Y191" s="1208"/>
      <c r="Z191" s="1208"/>
      <c r="AA191" s="1208"/>
      <c r="AB191" s="1208"/>
      <c r="AC191" s="1208"/>
      <c r="AD191" s="1208"/>
      <c r="AE191" s="1208"/>
      <c r="AF191" s="1208"/>
      <c r="AG191" s="1208"/>
      <c r="AH191" s="1969"/>
      <c r="AI191" s="1970"/>
      <c r="AJ191" s="1970"/>
      <c r="AK191" s="1970"/>
      <c r="AL191" s="1970"/>
      <c r="AM191" s="1970"/>
      <c r="AN191" s="1970"/>
      <c r="AO191" s="1970"/>
      <c r="AP191" s="1970"/>
      <c r="AQ191" s="1970"/>
      <c r="AR191" s="1970"/>
      <c r="AS191" s="1970"/>
      <c r="AT191" s="1970"/>
      <c r="AU191" s="1970"/>
      <c r="AV191" s="1970"/>
      <c r="AW191" s="1970"/>
      <c r="AX191" s="1970"/>
      <c r="AY191" s="1970"/>
      <c r="AZ191" s="1970"/>
      <c r="BA191" s="1970"/>
      <c r="BB191" s="1970"/>
      <c r="BC191" s="1970"/>
      <c r="BD191" s="1970"/>
      <c r="BE191" s="1971"/>
    </row>
    <row r="192" spans="1:57" ht="15.75" customHeight="1">
      <c r="A192" s="1208"/>
      <c r="B192" s="1208"/>
      <c r="C192" s="1208"/>
      <c r="D192" s="1208"/>
      <c r="E192" s="1208"/>
      <c r="F192" s="1208"/>
      <c r="G192" s="1208"/>
      <c r="H192" s="1208"/>
      <c r="I192" s="1208"/>
      <c r="J192" s="1208"/>
      <c r="K192" s="1208"/>
      <c r="L192" s="1208"/>
      <c r="M192" s="1208"/>
      <c r="N192" s="1208"/>
      <c r="O192" s="1208"/>
      <c r="P192" s="1208"/>
      <c r="Q192" s="1208"/>
      <c r="R192" s="1208"/>
      <c r="S192" s="1208"/>
      <c r="T192" s="1208"/>
      <c r="U192" s="1208"/>
      <c r="V192" s="1208"/>
      <c r="W192" s="1208"/>
      <c r="X192" s="1208"/>
      <c r="Y192" s="1208"/>
      <c r="Z192" s="1208"/>
      <c r="AA192" s="1208"/>
      <c r="AB192" s="1208"/>
      <c r="AC192" s="1208"/>
      <c r="AD192" s="1208"/>
      <c r="AE192" s="1208"/>
      <c r="AF192" s="1208"/>
      <c r="AG192" s="1208"/>
      <c r="AH192" s="1977"/>
      <c r="AI192" s="1977"/>
      <c r="AJ192" s="1977"/>
      <c r="AK192" s="1977"/>
      <c r="AL192" s="1977"/>
      <c r="AM192" s="1977"/>
      <c r="AN192" s="1977"/>
      <c r="AO192" s="1977"/>
      <c r="AP192" s="1977"/>
      <c r="AQ192" s="1977"/>
      <c r="AR192" s="1977"/>
      <c r="AS192" s="1978"/>
      <c r="AT192" s="1978"/>
      <c r="AU192" s="1978"/>
      <c r="AV192" s="1978"/>
      <c r="AW192" s="1978"/>
      <c r="AX192" s="1978"/>
      <c r="AY192" s="1978"/>
      <c r="AZ192" s="1978"/>
      <c r="BA192" s="1978"/>
      <c r="BB192" s="1978"/>
      <c r="BC192" s="1978"/>
      <c r="BD192" s="1978"/>
      <c r="BE192" s="1215"/>
    </row>
    <row r="193" spans="1:57" ht="15.75" customHeight="1" thickBot="1">
      <c r="A193" s="1208"/>
      <c r="B193" s="1208"/>
      <c r="C193" s="1208"/>
      <c r="D193" s="1208"/>
      <c r="E193" s="1208"/>
      <c r="F193" s="1208"/>
      <c r="G193" s="1208"/>
      <c r="H193" s="1208"/>
      <c r="I193" s="1208"/>
      <c r="J193" s="1208"/>
      <c r="K193" s="1208"/>
      <c r="L193" s="1208"/>
      <c r="M193" s="1208"/>
      <c r="N193" s="1208"/>
      <c r="O193" s="1208"/>
      <c r="P193" s="1208"/>
      <c r="Q193" s="1208"/>
      <c r="R193" s="1208"/>
      <c r="S193" s="1208"/>
      <c r="T193" s="1208"/>
      <c r="U193" s="1208"/>
      <c r="V193" s="1208"/>
      <c r="W193" s="1208"/>
      <c r="X193" s="1208"/>
      <c r="Y193" s="1208"/>
      <c r="Z193" s="1208"/>
      <c r="AA193" s="1208"/>
      <c r="AB193" s="1208"/>
      <c r="AC193" s="1208"/>
      <c r="AD193" s="1208"/>
      <c r="AE193" s="1208"/>
      <c r="AF193" s="1208"/>
      <c r="AG193" s="1208"/>
      <c r="AH193" s="1208"/>
      <c r="AI193" s="1208"/>
      <c r="AJ193" s="1208"/>
      <c r="AK193" s="1208"/>
      <c r="AL193" s="1208"/>
      <c r="AM193" s="1208"/>
      <c r="AN193" s="1208"/>
      <c r="AO193" s="1208"/>
      <c r="AP193" s="1208"/>
      <c r="AQ193" s="1208"/>
      <c r="AR193" s="1208"/>
      <c r="AS193" s="1208"/>
      <c r="AT193" s="1208"/>
      <c r="AU193" s="1208"/>
      <c r="AV193" s="1208"/>
      <c r="AW193" s="1208"/>
      <c r="AX193" s="1208"/>
      <c r="AY193" s="1208"/>
      <c r="AZ193" s="1208"/>
      <c r="BA193" s="1208"/>
      <c r="BB193" s="1208"/>
      <c r="BC193" s="1208"/>
      <c r="BD193" s="1208"/>
      <c r="BE193" s="1215"/>
    </row>
    <row r="194" spans="1:57" ht="15.75" customHeight="1" thickBot="1">
      <c r="A194" s="1208"/>
      <c r="B194" s="1208"/>
      <c r="C194" s="1957" t="s">
        <v>2252</v>
      </c>
      <c r="D194" s="1958"/>
      <c r="E194" s="1958"/>
      <c r="F194" s="1958"/>
      <c r="G194" s="1958"/>
      <c r="H194" s="1958"/>
      <c r="I194" s="1958"/>
      <c r="J194" s="1958"/>
      <c r="K194" s="1958"/>
      <c r="L194" s="1958"/>
      <c r="M194" s="1958"/>
      <c r="N194" s="1958"/>
      <c r="O194" s="1958"/>
      <c r="P194" s="1958"/>
      <c r="Q194" s="1958"/>
      <c r="R194" s="1958"/>
      <c r="S194" s="1958"/>
      <c r="T194" s="1958"/>
      <c r="U194" s="1958"/>
      <c r="V194" s="1958"/>
      <c r="W194" s="1958"/>
      <c r="X194" s="1958"/>
      <c r="Y194" s="1958"/>
      <c r="Z194" s="1958"/>
      <c r="AA194" s="1958"/>
      <c r="AB194" s="1958"/>
      <c r="AC194" s="1958"/>
      <c r="AD194" s="1958"/>
      <c r="AE194" s="1959"/>
      <c r="AF194" s="1208"/>
      <c r="AG194" s="1208"/>
      <c r="AH194" s="1208"/>
      <c r="AI194" s="1208"/>
      <c r="AJ194" s="1208"/>
      <c r="AK194" s="1208"/>
      <c r="AL194" s="1208"/>
      <c r="AM194" s="1208"/>
      <c r="AN194" s="1208"/>
      <c r="AO194" s="1208"/>
      <c r="AP194" s="1208"/>
      <c r="AQ194" s="1208"/>
      <c r="AR194" s="1208"/>
      <c r="AS194" s="1208"/>
      <c r="AT194" s="1208"/>
      <c r="AU194" s="1208"/>
      <c r="AV194" s="1208"/>
      <c r="AW194" s="1208"/>
      <c r="AX194" s="1208"/>
      <c r="AY194" s="1208"/>
      <c r="AZ194" s="1208"/>
      <c r="BA194" s="1208"/>
      <c r="BB194" s="1208"/>
      <c r="BC194" s="1208"/>
      <c r="BD194" s="1208"/>
      <c r="BE194" s="1215"/>
    </row>
    <row r="195" spans="1:57" ht="15.75" customHeight="1">
      <c r="A195" s="1208"/>
      <c r="B195" s="1208"/>
      <c r="C195" s="1960" t="s">
        <v>2251</v>
      </c>
      <c r="D195" s="1960"/>
      <c r="E195" s="1960"/>
      <c r="F195" s="1960"/>
      <c r="G195" s="1960"/>
      <c r="H195" s="1960"/>
      <c r="I195" s="1960"/>
      <c r="J195" s="1960"/>
      <c r="K195" s="1960"/>
      <c r="L195" s="1960"/>
      <c r="M195" s="1960"/>
      <c r="N195" s="1960"/>
      <c r="O195" s="1961" t="s">
        <v>2250</v>
      </c>
      <c r="P195" s="1961"/>
      <c r="Q195" s="1961"/>
      <c r="R195" s="1961"/>
      <c r="S195" s="1961"/>
      <c r="T195" s="1961"/>
      <c r="U195" s="1961"/>
      <c r="V195" s="1961"/>
      <c r="W195" s="1961"/>
      <c r="X195" s="1961" t="s">
        <v>2249</v>
      </c>
      <c r="Y195" s="1961"/>
      <c r="Z195" s="1961"/>
      <c r="AA195" s="1961"/>
      <c r="AB195" s="1961"/>
      <c r="AC195" s="1961"/>
      <c r="AD195" s="1961"/>
      <c r="AE195" s="1961"/>
      <c r="AF195" s="1208"/>
      <c r="AG195" s="1208"/>
      <c r="AH195" s="1208"/>
      <c r="AI195" s="1208"/>
      <c r="AJ195" s="1208"/>
      <c r="AK195" s="1208"/>
      <c r="AL195" s="1208"/>
      <c r="AM195" s="1208"/>
      <c r="AN195" s="1208"/>
      <c r="AO195" s="1208"/>
      <c r="AP195" s="1208"/>
      <c r="AQ195" s="1208"/>
      <c r="AR195" s="1208"/>
      <c r="AS195" s="1208"/>
      <c r="AT195" s="1208"/>
      <c r="AU195" s="1208"/>
      <c r="AV195" s="1208"/>
      <c r="AW195" s="1208"/>
      <c r="AX195" s="1208"/>
      <c r="AY195" s="1208"/>
      <c r="AZ195" s="1208"/>
      <c r="BA195" s="1208"/>
      <c r="BB195" s="1208"/>
      <c r="BC195" s="1208"/>
      <c r="BD195" s="1208"/>
      <c r="BE195" s="1215"/>
    </row>
    <row r="196" spans="1:57" ht="15.75" customHeight="1">
      <c r="A196" s="1208"/>
      <c r="B196" s="1208"/>
      <c r="C196" s="1952" t="s">
        <v>2248</v>
      </c>
      <c r="D196" s="1952"/>
      <c r="E196" s="1952"/>
      <c r="F196" s="1952"/>
      <c r="G196" s="1952"/>
      <c r="H196" s="1952"/>
      <c r="I196" s="1952"/>
      <c r="J196" s="1952"/>
      <c r="K196" s="1952"/>
      <c r="L196" s="1952"/>
      <c r="M196" s="1952"/>
      <c r="N196" s="1952"/>
      <c r="O196" s="1953" t="s">
        <v>2247</v>
      </c>
      <c r="P196" s="1953"/>
      <c r="Q196" s="1953"/>
      <c r="R196" s="1953"/>
      <c r="S196" s="1953"/>
      <c r="T196" s="1953"/>
      <c r="U196" s="1953"/>
      <c r="V196" s="1953"/>
      <c r="W196" s="1953"/>
      <c r="X196" s="1954">
        <v>0.03</v>
      </c>
      <c r="Y196" s="1954"/>
      <c r="Z196" s="1954"/>
      <c r="AA196" s="1954"/>
      <c r="AB196" s="1954"/>
      <c r="AC196" s="1954"/>
      <c r="AD196" s="1954"/>
      <c r="AE196" s="1954"/>
      <c r="AF196" s="1208"/>
      <c r="AG196" s="1208"/>
      <c r="AH196" s="1208"/>
      <c r="AI196" s="1208"/>
      <c r="AJ196" s="1208"/>
      <c r="AK196" s="1208"/>
      <c r="AL196" s="1208"/>
      <c r="AM196" s="1208"/>
      <c r="AN196" s="1208"/>
      <c r="AO196" s="1208"/>
      <c r="AP196" s="1208"/>
      <c r="AQ196" s="1208"/>
      <c r="AR196" s="1208"/>
      <c r="AS196" s="1208"/>
      <c r="AT196" s="1208"/>
      <c r="AU196" s="1208"/>
      <c r="AV196" s="1208"/>
      <c r="AW196" s="1208"/>
      <c r="AX196" s="1208"/>
      <c r="AY196" s="1208"/>
      <c r="AZ196" s="1208"/>
      <c r="BA196" s="1208"/>
      <c r="BB196" s="1208"/>
      <c r="BC196" s="1208"/>
      <c r="BD196" s="1208"/>
      <c r="BE196" s="1215"/>
    </row>
    <row r="197" spans="1:57" ht="15.75" customHeight="1">
      <c r="A197" s="1208"/>
      <c r="B197" s="1208"/>
      <c r="C197" s="1952" t="s">
        <v>854</v>
      </c>
      <c r="D197" s="1952"/>
      <c r="E197" s="1952"/>
      <c r="F197" s="1952"/>
      <c r="G197" s="1952"/>
      <c r="H197" s="1952"/>
      <c r="I197" s="1952"/>
      <c r="J197" s="1952"/>
      <c r="K197" s="1952"/>
      <c r="L197" s="1952"/>
      <c r="M197" s="1952"/>
      <c r="N197" s="1952"/>
      <c r="O197" s="1953" t="s">
        <v>2247</v>
      </c>
      <c r="P197" s="1953"/>
      <c r="Q197" s="1953"/>
      <c r="R197" s="1953"/>
      <c r="S197" s="1953"/>
      <c r="T197" s="1953"/>
      <c r="U197" s="1953"/>
      <c r="V197" s="1953"/>
      <c r="W197" s="1953"/>
      <c r="X197" s="1954">
        <v>0.03</v>
      </c>
      <c r="Y197" s="1954"/>
      <c r="Z197" s="1954"/>
      <c r="AA197" s="1954"/>
      <c r="AB197" s="1954"/>
      <c r="AC197" s="1954"/>
      <c r="AD197" s="1954"/>
      <c r="AE197" s="1954"/>
      <c r="AF197" s="1208"/>
      <c r="AG197" s="1208"/>
      <c r="AH197" s="1208"/>
      <c r="AI197" s="1208"/>
      <c r="AJ197" s="1208"/>
      <c r="AK197" s="1208"/>
      <c r="AL197" s="1208"/>
      <c r="AM197" s="1208"/>
      <c r="AN197" s="1208"/>
      <c r="AO197" s="1208"/>
      <c r="AP197" s="1208"/>
      <c r="AQ197" s="1208"/>
      <c r="AR197" s="1208"/>
      <c r="AS197" s="1208"/>
      <c r="AT197" s="1208"/>
      <c r="AU197" s="1208"/>
      <c r="AV197" s="1208"/>
      <c r="AW197" s="1208"/>
      <c r="AX197" s="1208"/>
      <c r="AY197" s="1208"/>
      <c r="AZ197" s="1208"/>
      <c r="BA197" s="1208"/>
      <c r="BB197" s="1208"/>
      <c r="BC197" s="1208"/>
      <c r="BD197" s="1208"/>
      <c r="BE197" s="1215"/>
    </row>
    <row r="198" spans="1:57" ht="15.75" customHeight="1">
      <c r="A198" s="1208"/>
      <c r="B198" s="1208"/>
      <c r="C198" s="1952" t="s">
        <v>2246</v>
      </c>
      <c r="D198" s="1952"/>
      <c r="E198" s="1952"/>
      <c r="F198" s="1952"/>
      <c r="G198" s="1952"/>
      <c r="H198" s="1952"/>
      <c r="I198" s="1952"/>
      <c r="J198" s="1952"/>
      <c r="K198" s="1952"/>
      <c r="L198" s="1952"/>
      <c r="M198" s="1952"/>
      <c r="N198" s="1952"/>
      <c r="O198" s="1955">
        <f>SUM(O196:W197)</f>
        <v>0</v>
      </c>
      <c r="P198" s="1956"/>
      <c r="Q198" s="1956"/>
      <c r="R198" s="1956"/>
      <c r="S198" s="1956"/>
      <c r="T198" s="1956"/>
      <c r="U198" s="1956"/>
      <c r="V198" s="1956"/>
      <c r="W198" s="1956"/>
      <c r="X198" s="1956" t="s">
        <v>2245</v>
      </c>
      <c r="Y198" s="1956"/>
      <c r="Z198" s="1956"/>
      <c r="AA198" s="1956"/>
      <c r="AB198" s="1956"/>
      <c r="AC198" s="1956"/>
      <c r="AD198" s="1956"/>
      <c r="AE198" s="1956"/>
      <c r="AF198" s="1208"/>
      <c r="AG198" s="1208"/>
      <c r="AH198" s="1208"/>
      <c r="AI198" s="1208"/>
      <c r="AJ198" s="1208"/>
      <c r="AK198" s="1208"/>
      <c r="AL198" s="1208"/>
      <c r="AM198" s="1208"/>
      <c r="AN198" s="1208"/>
      <c r="AO198" s="1208"/>
      <c r="AP198" s="1208"/>
      <c r="AQ198" s="1208"/>
      <c r="AR198" s="1208"/>
      <c r="AS198" s="1208"/>
      <c r="AT198" s="1208"/>
      <c r="AU198" s="1208"/>
      <c r="AV198" s="1208"/>
      <c r="AW198" s="1208"/>
      <c r="AX198" s="1208"/>
      <c r="AY198" s="1208"/>
      <c r="AZ198" s="1208"/>
      <c r="BA198" s="1208"/>
      <c r="BB198" s="1208"/>
      <c r="BC198" s="1208"/>
      <c r="BD198" s="1208"/>
      <c r="BE198" s="1215"/>
    </row>
    <row r="199" spans="1:57" ht="15.75" customHeight="1">
      <c r="A199" s="1208"/>
      <c r="B199" s="1208"/>
      <c r="C199" s="1926" t="s">
        <v>2244</v>
      </c>
      <c r="D199" s="1926"/>
      <c r="E199" s="1926"/>
      <c r="F199" s="1926"/>
      <c r="G199" s="1926"/>
      <c r="H199" s="1926"/>
      <c r="I199" s="1926"/>
      <c r="J199" s="1926"/>
      <c r="K199" s="1926"/>
      <c r="L199" s="1926"/>
      <c r="M199" s="1926"/>
      <c r="N199" s="1926"/>
      <c r="O199" s="1926"/>
      <c r="P199" s="1926"/>
      <c r="Q199" s="1926"/>
      <c r="R199" s="1926"/>
      <c r="S199" s="1926"/>
      <c r="T199" s="1926"/>
      <c r="U199" s="1926"/>
      <c r="V199" s="1926"/>
      <c r="W199" s="1926"/>
      <c r="X199" s="1926"/>
      <c r="Y199" s="1926"/>
      <c r="Z199" s="1926"/>
      <c r="AA199" s="1926"/>
      <c r="AB199" s="1926"/>
      <c r="AC199" s="1926"/>
      <c r="AD199" s="1926"/>
      <c r="AE199" s="1926"/>
      <c r="AF199" s="1208"/>
      <c r="AG199" s="1208"/>
      <c r="AH199" s="1208"/>
      <c r="AI199" s="1208"/>
      <c r="AJ199" s="1208"/>
      <c r="AK199" s="1208"/>
      <c r="AL199" s="1208"/>
      <c r="AM199" s="1208"/>
      <c r="AN199" s="1208"/>
      <c r="AO199" s="1208"/>
      <c r="AP199" s="1208"/>
      <c r="AQ199" s="1208"/>
      <c r="AR199" s="1208"/>
      <c r="AS199" s="1208"/>
      <c r="AT199" s="1208"/>
      <c r="AU199" s="1208"/>
      <c r="AV199" s="1208"/>
      <c r="AW199" s="1208"/>
      <c r="AX199" s="1208"/>
      <c r="AY199" s="1208"/>
      <c r="AZ199" s="1208"/>
      <c r="BA199" s="1208"/>
      <c r="BB199" s="1208"/>
      <c r="BC199" s="1208"/>
      <c r="BD199" s="1208"/>
      <c r="BE199" s="1215"/>
    </row>
    <row r="200" spans="1:57" ht="15.75" customHeight="1" thickBot="1">
      <c r="A200" s="1208"/>
      <c r="B200" s="1208"/>
      <c r="C200" s="1208"/>
      <c r="D200" s="1208"/>
      <c r="E200" s="1208"/>
      <c r="F200" s="1208"/>
      <c r="G200" s="1208"/>
      <c r="H200" s="1208"/>
      <c r="I200" s="1208"/>
      <c r="J200" s="1208"/>
      <c r="K200" s="1208"/>
      <c r="L200" s="1208"/>
      <c r="M200" s="1208"/>
      <c r="N200" s="1208"/>
      <c r="O200" s="1208"/>
      <c r="P200" s="1208"/>
      <c r="Q200" s="1208"/>
      <c r="R200" s="1208"/>
      <c r="S200" s="1208"/>
      <c r="T200" s="1208"/>
      <c r="U200" s="1208"/>
      <c r="V200" s="1208"/>
      <c r="W200" s="1208"/>
      <c r="X200" s="1208"/>
      <c r="Y200" s="1208"/>
      <c r="Z200" s="1208"/>
      <c r="AA200" s="1208"/>
      <c r="AB200" s="1208"/>
      <c r="AC200" s="1208"/>
      <c r="AD200" s="1208"/>
      <c r="AE200" s="1208"/>
      <c r="AF200" s="1208"/>
      <c r="AG200" s="1208"/>
      <c r="AH200" s="1208"/>
      <c r="AI200" s="1208"/>
      <c r="AJ200" s="1208"/>
      <c r="AK200" s="1208"/>
      <c r="AL200" s="1208"/>
      <c r="AM200" s="1208"/>
      <c r="AN200" s="1208"/>
      <c r="AO200" s="1208"/>
      <c r="AP200" s="1208"/>
      <c r="AQ200" s="1208"/>
      <c r="AR200" s="1208"/>
      <c r="AS200" s="1208"/>
      <c r="AT200" s="1208"/>
      <c r="AU200" s="1208"/>
      <c r="AV200" s="1208"/>
      <c r="AW200" s="1208"/>
      <c r="AX200" s="1208"/>
      <c r="AY200" s="1208"/>
      <c r="AZ200" s="1208"/>
      <c r="BA200" s="1208"/>
      <c r="BB200" s="1208"/>
      <c r="BC200" s="1208"/>
      <c r="BD200" s="1208"/>
      <c r="BE200" s="1215"/>
    </row>
    <row r="201" spans="1:57" ht="15.75" customHeight="1" thickBot="1">
      <c r="A201" s="1208"/>
      <c r="B201" s="1208"/>
      <c r="C201" s="1927" t="s">
        <v>2243</v>
      </c>
      <c r="D201" s="1928"/>
      <c r="E201" s="1928"/>
      <c r="F201" s="1928"/>
      <c r="G201" s="1928"/>
      <c r="H201" s="1928"/>
      <c r="I201" s="1928"/>
      <c r="J201" s="1928"/>
      <c r="K201" s="1928"/>
      <c r="L201" s="1928"/>
      <c r="M201" s="1928"/>
      <c r="N201" s="1928"/>
      <c r="O201" s="1928"/>
      <c r="P201" s="1928"/>
      <c r="Q201" s="1928"/>
      <c r="R201" s="1928"/>
      <c r="S201" s="1928"/>
      <c r="T201" s="1928"/>
      <c r="U201" s="1928"/>
      <c r="V201" s="1928"/>
      <c r="W201" s="1928"/>
      <c r="X201" s="1928"/>
      <c r="Y201" s="1928"/>
      <c r="Z201" s="1928"/>
      <c r="AA201" s="1928"/>
      <c r="AB201" s="1928"/>
      <c r="AC201" s="1928"/>
      <c r="AD201" s="1928"/>
      <c r="AE201" s="1928"/>
      <c r="AF201" s="1928"/>
      <c r="AG201" s="1928"/>
      <c r="AH201" s="1928"/>
      <c r="AI201" s="1928"/>
      <c r="AJ201" s="1928"/>
      <c r="AK201" s="1929"/>
      <c r="AL201" s="1208"/>
      <c r="AM201" s="1208"/>
      <c r="AN201" s="1208"/>
      <c r="AO201" s="1208"/>
      <c r="AP201" s="1208"/>
      <c r="AQ201" s="1208"/>
      <c r="AR201" s="1208"/>
      <c r="AS201" s="1208"/>
      <c r="AT201" s="1208"/>
      <c r="AU201" s="1208"/>
      <c r="AV201" s="1208"/>
      <c r="AW201" s="1208"/>
      <c r="AX201" s="1208"/>
      <c r="AY201" s="1208"/>
      <c r="AZ201" s="1208"/>
      <c r="BA201" s="1208"/>
      <c r="BB201" s="1208"/>
      <c r="BC201" s="1208"/>
      <c r="BD201" s="1208"/>
      <c r="BE201" s="1215"/>
    </row>
    <row r="202" spans="1:57" ht="15.75" customHeight="1">
      <c r="A202" s="1208"/>
      <c r="B202" s="1208"/>
      <c r="C202" s="1930" t="s">
        <v>2242</v>
      </c>
      <c r="D202" s="1931"/>
      <c r="E202" s="1931"/>
      <c r="F202" s="1932"/>
      <c r="G202" s="1936" t="s">
        <v>2241</v>
      </c>
      <c r="H202" s="1931"/>
      <c r="I202" s="1931"/>
      <c r="J202" s="1931"/>
      <c r="K202" s="1931"/>
      <c r="L202" s="1931"/>
      <c r="M202" s="1931"/>
      <c r="N202" s="1931"/>
      <c r="O202" s="1932"/>
      <c r="P202" s="1938" t="s">
        <v>2240</v>
      </c>
      <c r="Q202" s="1939"/>
      <c r="R202" s="1939"/>
      <c r="S202" s="1939"/>
      <c r="T202" s="1940"/>
      <c r="U202" s="1944" t="s">
        <v>2239</v>
      </c>
      <c r="V202" s="1945"/>
      <c r="W202" s="1945"/>
      <c r="X202" s="1946"/>
      <c r="Y202" s="1944" t="s">
        <v>2238</v>
      </c>
      <c r="Z202" s="1945"/>
      <c r="AA202" s="1945"/>
      <c r="AB202" s="1946"/>
      <c r="AC202" s="1944" t="s">
        <v>2237</v>
      </c>
      <c r="AD202" s="1945"/>
      <c r="AE202" s="1945"/>
      <c r="AF202" s="1946"/>
      <c r="AG202" s="1936" t="s">
        <v>2236</v>
      </c>
      <c r="AH202" s="1931"/>
      <c r="AI202" s="1931"/>
      <c r="AJ202" s="1931"/>
      <c r="AK202" s="1950"/>
      <c r="AL202" s="1208"/>
      <c r="AM202" s="1208"/>
      <c r="AN202" s="1208"/>
      <c r="AO202" s="1208"/>
      <c r="AP202" s="1208"/>
      <c r="AQ202" s="1208"/>
      <c r="AR202" s="1208"/>
      <c r="AS202" s="1208"/>
      <c r="AT202" s="1208"/>
      <c r="AU202" s="1208"/>
      <c r="AV202" s="1208"/>
      <c r="AW202" s="1208"/>
      <c r="AX202" s="1208"/>
      <c r="AY202" s="1208"/>
      <c r="AZ202" s="1208"/>
      <c r="BA202" s="1208"/>
      <c r="BB202" s="1208"/>
      <c r="BC202" s="1208"/>
      <c r="BD202" s="1208"/>
      <c r="BE202" s="1215"/>
    </row>
    <row r="203" spans="1:57" ht="15.75" customHeight="1">
      <c r="A203" s="1208"/>
      <c r="B203" s="1208"/>
      <c r="C203" s="1933"/>
      <c r="D203" s="1934"/>
      <c r="E203" s="1934"/>
      <c r="F203" s="1935"/>
      <c r="G203" s="1937"/>
      <c r="H203" s="1934"/>
      <c r="I203" s="1934"/>
      <c r="J203" s="1934"/>
      <c r="K203" s="1934"/>
      <c r="L203" s="1934"/>
      <c r="M203" s="1934"/>
      <c r="N203" s="1934"/>
      <c r="O203" s="1935"/>
      <c r="P203" s="1941"/>
      <c r="Q203" s="1942"/>
      <c r="R203" s="1942"/>
      <c r="S203" s="1942"/>
      <c r="T203" s="1943"/>
      <c r="U203" s="1947"/>
      <c r="V203" s="1948"/>
      <c r="W203" s="1948"/>
      <c r="X203" s="1949"/>
      <c r="Y203" s="1947"/>
      <c r="Z203" s="1948"/>
      <c r="AA203" s="1948"/>
      <c r="AB203" s="1949"/>
      <c r="AC203" s="1947"/>
      <c r="AD203" s="1948"/>
      <c r="AE203" s="1948"/>
      <c r="AF203" s="1949"/>
      <c r="AG203" s="1937"/>
      <c r="AH203" s="1934"/>
      <c r="AI203" s="1934"/>
      <c r="AJ203" s="1934"/>
      <c r="AK203" s="1951"/>
      <c r="AL203" s="1208"/>
      <c r="AM203" s="1208"/>
      <c r="AN203" s="1208"/>
      <c r="AO203" s="1208"/>
      <c r="AP203" s="1208"/>
      <c r="AQ203" s="1208"/>
      <c r="AR203" s="1208"/>
      <c r="AS203" s="1208"/>
      <c r="AT203" s="1208"/>
      <c r="AU203" s="1208"/>
      <c r="AV203" s="1208"/>
      <c r="AW203" s="1208"/>
      <c r="AX203" s="1208"/>
      <c r="AY203" s="1208"/>
      <c r="AZ203" s="1208"/>
      <c r="BA203" s="1208"/>
      <c r="BB203" s="1208"/>
      <c r="BC203" s="1208"/>
      <c r="BD203" s="1208"/>
      <c r="BE203" s="1215"/>
    </row>
    <row r="204" spans="1:57" ht="15.75" customHeight="1">
      <c r="A204" s="1208"/>
      <c r="B204" s="1208"/>
      <c r="C204" s="1919">
        <v>1</v>
      </c>
      <c r="D204" s="1920"/>
      <c r="E204" s="1920"/>
      <c r="F204" s="1920"/>
      <c r="G204" s="1921" t="s">
        <v>1858</v>
      </c>
      <c r="H204" s="1921"/>
      <c r="I204" s="1921"/>
      <c r="J204" s="1921"/>
      <c r="K204" s="1921"/>
      <c r="L204" s="1921"/>
      <c r="M204" s="1921"/>
      <c r="N204" s="1921"/>
      <c r="O204" s="1921"/>
      <c r="P204" s="1922"/>
      <c r="Q204" s="1925"/>
      <c r="R204" s="1925"/>
      <c r="S204" s="1925"/>
      <c r="T204" s="1925"/>
      <c r="U204" s="1923" t="s">
        <v>1858</v>
      </c>
      <c r="V204" s="1923"/>
      <c r="W204" s="1923"/>
      <c r="X204" s="1923"/>
      <c r="Y204" s="1923" t="s">
        <v>1858</v>
      </c>
      <c r="Z204" s="1923"/>
      <c r="AA204" s="1923"/>
      <c r="AB204" s="1923"/>
      <c r="AC204" s="1924" t="s">
        <v>1858</v>
      </c>
      <c r="AD204" s="1924"/>
      <c r="AE204" s="1924"/>
      <c r="AF204" s="1924"/>
      <c r="AG204" s="1908"/>
      <c r="AH204" s="1909"/>
      <c r="AI204" s="1909"/>
      <c r="AJ204" s="1909"/>
      <c r="AK204" s="1910"/>
      <c r="AL204" s="1208"/>
      <c r="AM204" s="1208"/>
      <c r="AN204" s="1208"/>
      <c r="AO204" s="1208"/>
      <c r="AP204" s="1208"/>
      <c r="AQ204" s="1208"/>
      <c r="AR204" s="1208"/>
      <c r="AS204" s="1208"/>
      <c r="AT204" s="1208"/>
      <c r="AU204" s="1208"/>
      <c r="AV204" s="1208"/>
      <c r="AW204" s="1208"/>
      <c r="AX204" s="1208"/>
      <c r="AY204" s="1208"/>
      <c r="AZ204" s="1208"/>
      <c r="BA204" s="1208"/>
      <c r="BB204" s="1208"/>
      <c r="BC204" s="1208"/>
      <c r="BD204" s="1208"/>
      <c r="BE204" s="1215"/>
    </row>
    <row r="205" spans="1:57" ht="15.75" customHeight="1">
      <c r="A205" s="1208"/>
      <c r="B205" s="1208"/>
      <c r="C205" s="1919">
        <v>2</v>
      </c>
      <c r="D205" s="1920"/>
      <c r="E205" s="1920"/>
      <c r="F205" s="1920"/>
      <c r="G205" s="1921" t="s">
        <v>1858</v>
      </c>
      <c r="H205" s="1921"/>
      <c r="I205" s="1921"/>
      <c r="J205" s="1921"/>
      <c r="K205" s="1921"/>
      <c r="L205" s="1921"/>
      <c r="M205" s="1921"/>
      <c r="N205" s="1921"/>
      <c r="O205" s="1921"/>
      <c r="P205" s="1922"/>
      <c r="Q205" s="1922"/>
      <c r="R205" s="1922"/>
      <c r="S205" s="1922"/>
      <c r="T205" s="1922"/>
      <c r="U205" s="1923" t="s">
        <v>1858</v>
      </c>
      <c r="V205" s="1923"/>
      <c r="W205" s="1923"/>
      <c r="X205" s="1923"/>
      <c r="Y205" s="1923" t="s">
        <v>1858</v>
      </c>
      <c r="Z205" s="1923"/>
      <c r="AA205" s="1923"/>
      <c r="AB205" s="1923"/>
      <c r="AC205" s="1924" t="s">
        <v>1858</v>
      </c>
      <c r="AD205" s="1924"/>
      <c r="AE205" s="1924"/>
      <c r="AF205" s="1924"/>
      <c r="AG205" s="1908"/>
      <c r="AH205" s="1909"/>
      <c r="AI205" s="1909"/>
      <c r="AJ205" s="1909"/>
      <c r="AK205" s="1910"/>
      <c r="AL205" s="1208"/>
      <c r="AM205" s="1208"/>
      <c r="AN205" s="1208"/>
      <c r="AO205" s="1208"/>
      <c r="AP205" s="1208"/>
      <c r="AQ205" s="1208"/>
      <c r="AR205" s="1208"/>
      <c r="AS205" s="1208"/>
      <c r="AT205" s="1208"/>
      <c r="AU205" s="1208"/>
      <c r="AV205" s="1208"/>
      <c r="AW205" s="1208"/>
      <c r="AX205" s="1208"/>
      <c r="AY205" s="1208"/>
      <c r="AZ205" s="1208"/>
      <c r="BA205" s="1208"/>
      <c r="BB205" s="1208"/>
      <c r="BC205" s="1208"/>
      <c r="BD205" s="1208"/>
      <c r="BE205" s="1215"/>
    </row>
    <row r="206" spans="1:57" ht="15.75" customHeight="1">
      <c r="A206" s="1208"/>
      <c r="B206" s="1208"/>
      <c r="C206" s="1919">
        <v>3</v>
      </c>
      <c r="D206" s="1920"/>
      <c r="E206" s="1920"/>
      <c r="F206" s="1920"/>
      <c r="G206" s="1921" t="s">
        <v>1858</v>
      </c>
      <c r="H206" s="1921"/>
      <c r="I206" s="1921"/>
      <c r="J206" s="1921"/>
      <c r="K206" s="1921"/>
      <c r="L206" s="1921"/>
      <c r="M206" s="1921"/>
      <c r="N206" s="1921"/>
      <c r="O206" s="1921"/>
      <c r="P206" s="1922"/>
      <c r="Q206" s="1922"/>
      <c r="R206" s="1922"/>
      <c r="S206" s="1922"/>
      <c r="T206" s="1922"/>
      <c r="U206" s="1923" t="s">
        <v>1858</v>
      </c>
      <c r="V206" s="1923"/>
      <c r="W206" s="1923"/>
      <c r="X206" s="1923"/>
      <c r="Y206" s="1923" t="s">
        <v>1858</v>
      </c>
      <c r="Z206" s="1923"/>
      <c r="AA206" s="1923"/>
      <c r="AB206" s="1923"/>
      <c r="AC206" s="1924" t="s">
        <v>1858</v>
      </c>
      <c r="AD206" s="1924"/>
      <c r="AE206" s="1924"/>
      <c r="AF206" s="1924"/>
      <c r="AG206" s="1908"/>
      <c r="AH206" s="1909"/>
      <c r="AI206" s="1909"/>
      <c r="AJ206" s="1909"/>
      <c r="AK206" s="1910"/>
      <c r="AL206" s="1208"/>
      <c r="AM206" s="1208"/>
      <c r="AN206" s="1208"/>
      <c r="AO206" s="1208"/>
      <c r="AP206" s="1208"/>
      <c r="AQ206" s="1208"/>
      <c r="AR206" s="1208"/>
      <c r="AS206" s="1208"/>
      <c r="AT206" s="1208"/>
      <c r="AU206" s="1208"/>
      <c r="AV206" s="1208"/>
      <c r="AW206" s="1208"/>
      <c r="AX206" s="1208"/>
      <c r="AY206" s="1208"/>
      <c r="AZ206" s="1208"/>
      <c r="BA206" s="1208"/>
      <c r="BB206" s="1208"/>
      <c r="BC206" s="1208"/>
      <c r="BD206" s="1208"/>
      <c r="BE206" s="1215"/>
    </row>
    <row r="207" spans="1:57" ht="15.75" customHeight="1">
      <c r="A207" s="1208"/>
      <c r="B207" s="1208"/>
      <c r="C207" s="1919">
        <v>4</v>
      </c>
      <c r="D207" s="1920"/>
      <c r="E207" s="1920"/>
      <c r="F207" s="1920"/>
      <c r="G207" s="1921" t="s">
        <v>1858</v>
      </c>
      <c r="H207" s="1921"/>
      <c r="I207" s="1921"/>
      <c r="J207" s="1921"/>
      <c r="K207" s="1921"/>
      <c r="L207" s="1921"/>
      <c r="M207" s="1921"/>
      <c r="N207" s="1921"/>
      <c r="O207" s="1921"/>
      <c r="P207" s="1922"/>
      <c r="Q207" s="1922"/>
      <c r="R207" s="1922"/>
      <c r="S207" s="1922"/>
      <c r="T207" s="1922"/>
      <c r="U207" s="1923" t="s">
        <v>1858</v>
      </c>
      <c r="V207" s="1923"/>
      <c r="W207" s="1923"/>
      <c r="X207" s="1923"/>
      <c r="Y207" s="1923" t="s">
        <v>1858</v>
      </c>
      <c r="Z207" s="1923"/>
      <c r="AA207" s="1923"/>
      <c r="AB207" s="1923"/>
      <c r="AC207" s="1924" t="s">
        <v>1858</v>
      </c>
      <c r="AD207" s="1924"/>
      <c r="AE207" s="1924"/>
      <c r="AF207" s="1924"/>
      <c r="AG207" s="1908"/>
      <c r="AH207" s="1909"/>
      <c r="AI207" s="1909"/>
      <c r="AJ207" s="1909"/>
      <c r="AK207" s="1910"/>
      <c r="AL207" s="1208"/>
      <c r="AM207" s="1208"/>
      <c r="AN207" s="1208"/>
      <c r="AO207" s="1208"/>
      <c r="AP207" s="1208"/>
      <c r="AQ207" s="1208"/>
      <c r="AR207" s="1208"/>
      <c r="AS207" s="1208"/>
      <c r="AT207" s="1208"/>
      <c r="AU207" s="1208"/>
      <c r="AV207" s="1208"/>
      <c r="AW207" s="1208"/>
      <c r="AX207" s="1208"/>
      <c r="AY207" s="1208"/>
      <c r="AZ207" s="1208"/>
      <c r="BA207" s="1208"/>
      <c r="BB207" s="1208"/>
      <c r="BC207" s="1208"/>
      <c r="BD207" s="1208"/>
      <c r="BE207" s="1215"/>
    </row>
    <row r="208" spans="1:57" ht="15.75" customHeight="1">
      <c r="A208" s="1208"/>
      <c r="B208" s="1208"/>
      <c r="C208" s="1919">
        <v>5</v>
      </c>
      <c r="D208" s="1920"/>
      <c r="E208" s="1920"/>
      <c r="F208" s="1920"/>
      <c r="G208" s="1921" t="s">
        <v>1858</v>
      </c>
      <c r="H208" s="1921"/>
      <c r="I208" s="1921"/>
      <c r="J208" s="1921"/>
      <c r="K208" s="1921"/>
      <c r="L208" s="1921"/>
      <c r="M208" s="1921"/>
      <c r="N208" s="1921"/>
      <c r="O208" s="1921"/>
      <c r="P208" s="1922"/>
      <c r="Q208" s="1922"/>
      <c r="R208" s="1922"/>
      <c r="S208" s="1922"/>
      <c r="T208" s="1922"/>
      <c r="U208" s="1923" t="s">
        <v>1858</v>
      </c>
      <c r="V208" s="1923"/>
      <c r="W208" s="1923"/>
      <c r="X208" s="1923"/>
      <c r="Y208" s="1923" t="s">
        <v>1858</v>
      </c>
      <c r="Z208" s="1923"/>
      <c r="AA208" s="1923"/>
      <c r="AB208" s="1923"/>
      <c r="AC208" s="1924" t="s">
        <v>1858</v>
      </c>
      <c r="AD208" s="1924"/>
      <c r="AE208" s="1924"/>
      <c r="AF208" s="1924"/>
      <c r="AG208" s="1908"/>
      <c r="AH208" s="1909"/>
      <c r="AI208" s="1909"/>
      <c r="AJ208" s="1909"/>
      <c r="AK208" s="1910"/>
      <c r="AL208" s="1208"/>
      <c r="AM208" s="1208"/>
      <c r="AN208" s="1208"/>
      <c r="AO208" s="1208"/>
      <c r="AP208" s="1208"/>
      <c r="AQ208" s="1208"/>
      <c r="AR208" s="1208"/>
      <c r="AS208" s="1208"/>
      <c r="AT208" s="1208"/>
      <c r="AU208" s="1208"/>
      <c r="AV208" s="1208"/>
      <c r="AW208" s="1208"/>
      <c r="AX208" s="1208"/>
      <c r="AY208" s="1208"/>
      <c r="AZ208" s="1208"/>
      <c r="BA208" s="1208"/>
      <c r="BB208" s="1208"/>
      <c r="BC208" s="1208"/>
      <c r="BD208" s="1208"/>
      <c r="BE208" s="1215"/>
    </row>
    <row r="209" spans="1:57" ht="15.75" customHeight="1">
      <c r="A209" s="1208"/>
      <c r="B209" s="1208"/>
      <c r="C209" s="1919">
        <v>6</v>
      </c>
      <c r="D209" s="1920"/>
      <c r="E209" s="1920"/>
      <c r="F209" s="1920"/>
      <c r="G209" s="1921" t="s">
        <v>1858</v>
      </c>
      <c r="H209" s="1921"/>
      <c r="I209" s="1921"/>
      <c r="J209" s="1921"/>
      <c r="K209" s="1921"/>
      <c r="L209" s="1921"/>
      <c r="M209" s="1921"/>
      <c r="N209" s="1921"/>
      <c r="O209" s="1921"/>
      <c r="P209" s="1922"/>
      <c r="Q209" s="1922"/>
      <c r="R209" s="1922"/>
      <c r="S209" s="1922"/>
      <c r="T209" s="1922"/>
      <c r="U209" s="1923"/>
      <c r="V209" s="1923"/>
      <c r="W209" s="1923"/>
      <c r="X209" s="1923"/>
      <c r="Y209" s="1923"/>
      <c r="Z209" s="1923"/>
      <c r="AA209" s="1923"/>
      <c r="AB209" s="1923"/>
      <c r="AC209" s="1924" t="s">
        <v>1858</v>
      </c>
      <c r="AD209" s="1924"/>
      <c r="AE209" s="1924"/>
      <c r="AF209" s="1924"/>
      <c r="AG209" s="1908"/>
      <c r="AH209" s="1909"/>
      <c r="AI209" s="1909"/>
      <c r="AJ209" s="1909"/>
      <c r="AK209" s="1910"/>
      <c r="AL209" s="1208"/>
      <c r="AM209" s="1208"/>
      <c r="AN209" s="1208"/>
      <c r="AO209" s="1208"/>
      <c r="AP209" s="1208"/>
      <c r="AQ209" s="1208"/>
      <c r="AR209" s="1208"/>
      <c r="AS209" s="1208"/>
      <c r="AT209" s="1208"/>
      <c r="AU209" s="1208"/>
      <c r="AV209" s="1208"/>
      <c r="AW209" s="1208"/>
      <c r="AX209" s="1208"/>
      <c r="AY209" s="1208"/>
      <c r="AZ209" s="1208"/>
      <c r="BA209" s="1208"/>
      <c r="BB209" s="1208"/>
      <c r="BC209" s="1208"/>
      <c r="BD209" s="1208"/>
      <c r="BE209" s="1215"/>
    </row>
    <row r="210" spans="1:57" ht="15.75" customHeight="1">
      <c r="A210" s="1208"/>
      <c r="B210" s="1208"/>
      <c r="C210" s="1919">
        <v>7</v>
      </c>
      <c r="D210" s="1920"/>
      <c r="E210" s="1920"/>
      <c r="F210" s="1920"/>
      <c r="G210" s="1921"/>
      <c r="H210" s="1921"/>
      <c r="I210" s="1921"/>
      <c r="J210" s="1921"/>
      <c r="K210" s="1921"/>
      <c r="L210" s="1921"/>
      <c r="M210" s="1921"/>
      <c r="N210" s="1921"/>
      <c r="O210" s="1921"/>
      <c r="P210" s="1922"/>
      <c r="Q210" s="1922"/>
      <c r="R210" s="1922"/>
      <c r="S210" s="1922"/>
      <c r="T210" s="1922"/>
      <c r="U210" s="1923"/>
      <c r="V210" s="1923"/>
      <c r="W210" s="1923"/>
      <c r="X210" s="1923"/>
      <c r="Y210" s="1923"/>
      <c r="Z210" s="1923"/>
      <c r="AA210" s="1923"/>
      <c r="AB210" s="1923"/>
      <c r="AC210" s="1924" t="s">
        <v>1858</v>
      </c>
      <c r="AD210" s="1924"/>
      <c r="AE210" s="1924"/>
      <c r="AF210" s="1924"/>
      <c r="AG210" s="1908"/>
      <c r="AH210" s="1909"/>
      <c r="AI210" s="1909"/>
      <c r="AJ210" s="1909"/>
      <c r="AK210" s="1910"/>
      <c r="AL210" s="1208"/>
      <c r="AM210" s="1208"/>
      <c r="AN210" s="1208"/>
      <c r="AO210" s="1208"/>
      <c r="AP210" s="1208"/>
      <c r="AQ210" s="1208"/>
      <c r="AR210" s="1208"/>
      <c r="AS210" s="1208"/>
      <c r="AT210" s="1208"/>
      <c r="AU210" s="1208"/>
      <c r="AV210" s="1208"/>
      <c r="AW210" s="1208"/>
      <c r="AX210" s="1208"/>
      <c r="AY210" s="1208"/>
      <c r="AZ210" s="1208"/>
      <c r="BA210" s="1208"/>
      <c r="BB210" s="1208"/>
      <c r="BC210" s="1208"/>
      <c r="BD210" s="1208"/>
      <c r="BE210" s="1215"/>
    </row>
    <row r="211" spans="1:57" ht="15.75" customHeight="1">
      <c r="A211" s="1208"/>
      <c r="B211" s="1208"/>
      <c r="C211" s="1911" t="s">
        <v>2235</v>
      </c>
      <c r="D211" s="1912"/>
      <c r="E211" s="1912"/>
      <c r="F211" s="1912"/>
      <c r="G211" s="1912"/>
      <c r="H211" s="1912"/>
      <c r="I211" s="1912"/>
      <c r="J211" s="1912"/>
      <c r="K211" s="1912"/>
      <c r="L211" s="1912"/>
      <c r="M211" s="1912"/>
      <c r="N211" s="1912"/>
      <c r="O211" s="1912"/>
      <c r="P211" s="1913"/>
      <c r="Q211" s="1913"/>
      <c r="R211" s="1913"/>
      <c r="S211" s="1913"/>
      <c r="T211" s="1913"/>
      <c r="U211" s="1914">
        <f>-SUM(U204:U210)</f>
        <v>0</v>
      </c>
      <c r="V211" s="1914"/>
      <c r="W211" s="1914"/>
      <c r="X211" s="1914"/>
      <c r="Y211" s="1914">
        <f>-SUM(Y204:Y210)</f>
        <v>0</v>
      </c>
      <c r="Z211" s="1914"/>
      <c r="AA211" s="1914"/>
      <c r="AB211" s="1914"/>
      <c r="AC211" s="1915">
        <f>-SUM(AC204:AC210)</f>
        <v>0</v>
      </c>
      <c r="AD211" s="1915"/>
      <c r="AE211" s="1915"/>
      <c r="AF211" s="1915"/>
      <c r="AG211" s="1916"/>
      <c r="AH211" s="1917"/>
      <c r="AI211" s="1917"/>
      <c r="AJ211" s="1917"/>
      <c r="AK211" s="1918"/>
      <c r="AL211" s="1208"/>
      <c r="AM211" s="1208"/>
      <c r="AN211" s="1208"/>
      <c r="AO211" s="1208"/>
      <c r="AP211" s="1208"/>
      <c r="AQ211" s="1208"/>
      <c r="AR211" s="1208"/>
      <c r="AS211" s="1208"/>
      <c r="AT211" s="1208"/>
      <c r="AU211" s="1208"/>
      <c r="AV211" s="1208"/>
      <c r="AW211" s="1208"/>
      <c r="AX211" s="1208"/>
      <c r="AY211" s="1208"/>
      <c r="AZ211" s="1208"/>
      <c r="BA211" s="1208"/>
      <c r="BB211" s="1208"/>
      <c r="BC211" s="1208"/>
      <c r="BD211" s="1208"/>
      <c r="BE211" s="1215"/>
    </row>
    <row r="212" spans="1:57" ht="15.75" customHeight="1">
      <c r="A212" s="1208"/>
      <c r="B212" s="1208"/>
      <c r="C212" s="1208" t="s">
        <v>2234</v>
      </c>
      <c r="D212" s="1208"/>
      <c r="E212" s="1208"/>
      <c r="F212" s="1208"/>
      <c r="G212" s="1208"/>
      <c r="H212" s="1208"/>
      <c r="I212" s="1208"/>
      <c r="J212" s="1208"/>
      <c r="K212" s="1208"/>
      <c r="L212" s="1208"/>
      <c r="M212" s="1208"/>
      <c r="N212" s="1208"/>
      <c r="O212" s="1208"/>
      <c r="P212" s="1208"/>
      <c r="Q212" s="1208"/>
      <c r="R212" s="1208"/>
      <c r="S212" s="1208"/>
      <c r="T212" s="1208"/>
      <c r="U212" s="1208"/>
      <c r="V212" s="1208"/>
      <c r="W212" s="1208"/>
      <c r="X212" s="1208"/>
      <c r="Y212" s="1208"/>
      <c r="Z212" s="1208"/>
      <c r="AA212" s="1208"/>
      <c r="AB212" s="1208"/>
      <c r="AC212" s="1208"/>
      <c r="AD212" s="1208"/>
      <c r="AE212" s="1208"/>
      <c r="AF212" s="1208"/>
      <c r="AG212" s="1208"/>
      <c r="AH212" s="1208"/>
      <c r="AI212" s="1208"/>
      <c r="AJ212" s="1208"/>
      <c r="AK212" s="1208"/>
      <c r="AL212" s="1208"/>
      <c r="AM212" s="1208"/>
      <c r="AN212" s="1208"/>
      <c r="AO212" s="1208"/>
      <c r="AP212" s="1208"/>
      <c r="AQ212" s="1208"/>
      <c r="AR212" s="1208"/>
      <c r="AS212" s="1208"/>
      <c r="AT212" s="1208"/>
      <c r="AU212" s="1208"/>
      <c r="AV212" s="1208"/>
      <c r="AW212" s="1208"/>
      <c r="AX212" s="1208"/>
      <c r="AY212" s="1208"/>
      <c r="AZ212" s="1208"/>
      <c r="BA212" s="1208"/>
      <c r="BB212" s="1208"/>
      <c r="BC212" s="1208"/>
      <c r="BD212" s="1208"/>
      <c r="BE212" s="1215"/>
    </row>
    <row r="213" spans="1:57" ht="15.75" customHeight="1">
      <c r="A213" s="1208"/>
      <c r="B213" s="1208"/>
      <c r="C213" s="1208"/>
      <c r="D213" s="1208"/>
      <c r="E213" s="1208"/>
      <c r="F213" s="1208"/>
      <c r="G213" s="1208"/>
      <c r="H213" s="1208"/>
      <c r="I213" s="1208"/>
      <c r="J213" s="1208"/>
      <c r="K213" s="1208"/>
      <c r="L213" s="1208"/>
      <c r="M213" s="1208"/>
      <c r="N213" s="1208"/>
      <c r="O213" s="1208"/>
      <c r="P213" s="1208"/>
      <c r="Q213" s="1208"/>
      <c r="R213" s="1208"/>
      <c r="S213" s="1208"/>
      <c r="T213" s="1208"/>
      <c r="U213" s="1208"/>
      <c r="V213" s="1208"/>
      <c r="W213" s="1208"/>
      <c r="X213" s="1208"/>
      <c r="Y213" s="1208"/>
      <c r="Z213" s="1208"/>
      <c r="AA213" s="1208"/>
      <c r="AB213" s="1208"/>
      <c r="AC213" s="1208"/>
      <c r="AD213" s="1208"/>
      <c r="AE213" s="1208"/>
      <c r="AF213" s="1208"/>
      <c r="AG213" s="1208"/>
      <c r="AH213" s="1208"/>
      <c r="AI213" s="1208"/>
      <c r="AJ213" s="1208"/>
      <c r="AK213" s="1208"/>
      <c r="AL213" s="1208"/>
      <c r="AM213" s="1208"/>
      <c r="AN213" s="1208"/>
      <c r="AO213" s="1208"/>
      <c r="AP213" s="1208"/>
      <c r="AQ213" s="1208"/>
      <c r="AR213" s="1208"/>
      <c r="AS213" s="1208"/>
      <c r="AT213" s="1208"/>
      <c r="AU213" s="1208"/>
      <c r="AV213" s="1208"/>
      <c r="AW213" s="1208"/>
      <c r="AX213" s="1208"/>
      <c r="AY213" s="1208"/>
      <c r="AZ213" s="1208"/>
      <c r="BA213" s="1208"/>
      <c r="BB213" s="1208"/>
      <c r="BC213" s="1208"/>
      <c r="BD213" s="1208"/>
      <c r="BE213" s="1215"/>
    </row>
    <row r="214" spans="1:57" ht="15.75" customHeight="1">
      <c r="A214" s="1208"/>
      <c r="B214" s="1208"/>
      <c r="C214" s="1208"/>
      <c r="D214" s="1208"/>
      <c r="E214" s="1208"/>
      <c r="F214" s="1208"/>
      <c r="G214" s="1208"/>
      <c r="H214" s="1208"/>
      <c r="I214" s="1208"/>
      <c r="J214" s="1208"/>
      <c r="K214" s="1208"/>
      <c r="L214" s="1208"/>
      <c r="M214" s="1208"/>
      <c r="N214" s="1208"/>
      <c r="O214" s="1208"/>
      <c r="P214" s="1208"/>
      <c r="Q214" s="1208"/>
      <c r="R214" s="1208"/>
      <c r="S214" s="1208"/>
      <c r="T214" s="1208"/>
      <c r="U214" s="1208"/>
      <c r="V214" s="1208"/>
      <c r="W214" s="1208"/>
      <c r="X214" s="1208"/>
      <c r="Y214" s="1208"/>
      <c r="Z214" s="1208"/>
      <c r="AA214" s="1208"/>
      <c r="AB214" s="1208"/>
      <c r="AC214" s="1208"/>
      <c r="AD214" s="1208"/>
      <c r="AE214" s="1208"/>
      <c r="AF214" s="1208"/>
      <c r="AG214" s="1208"/>
      <c r="AH214" s="1208"/>
      <c r="AI214" s="1208"/>
      <c r="AJ214" s="1208"/>
      <c r="AK214" s="1208"/>
      <c r="AL214" s="1208"/>
      <c r="AM214" s="1208"/>
      <c r="AN214" s="1208"/>
      <c r="AO214" s="1208"/>
      <c r="AP214" s="1208"/>
      <c r="AQ214" s="1208"/>
      <c r="AR214" s="1208"/>
      <c r="AS214" s="1208"/>
      <c r="AT214" s="1208"/>
      <c r="AU214" s="1208"/>
      <c r="AV214" s="1208"/>
      <c r="AW214" s="1208"/>
      <c r="AX214" s="1208"/>
      <c r="AY214" s="1208"/>
      <c r="AZ214" s="1208"/>
      <c r="BA214" s="1208"/>
      <c r="BB214" s="1208"/>
      <c r="BC214" s="1208"/>
      <c r="BD214" s="1208"/>
      <c r="BE214" s="1215"/>
    </row>
    <row r="215" spans="1:57" ht="15.75" customHeight="1" thickBot="1">
      <c r="A215" s="1208"/>
      <c r="B215" s="1208"/>
      <c r="C215" s="1208"/>
      <c r="D215" s="1208"/>
      <c r="E215" s="1208"/>
      <c r="F215" s="1208"/>
      <c r="G215" s="1208"/>
      <c r="H215" s="1208"/>
      <c r="I215" s="1208"/>
      <c r="J215" s="1208"/>
      <c r="K215" s="1208"/>
      <c r="L215" s="1208"/>
      <c r="M215" s="1208"/>
      <c r="N215" s="1208"/>
      <c r="O215" s="1208"/>
      <c r="P215" s="1208"/>
      <c r="Q215" s="1208"/>
      <c r="R215" s="1208"/>
      <c r="S215" s="1208"/>
      <c r="T215" s="1208"/>
      <c r="U215" s="1208"/>
      <c r="V215" s="1208"/>
      <c r="W215" s="1208"/>
      <c r="X215" s="1208"/>
      <c r="Y215" s="1208"/>
      <c r="Z215" s="1208"/>
      <c r="AA215" s="1208"/>
      <c r="AB215" s="1208"/>
      <c r="AC215" s="1208"/>
      <c r="AD215" s="1208"/>
      <c r="AE215" s="1208"/>
      <c r="AF215" s="1208"/>
      <c r="AG215" s="1208"/>
      <c r="AH215" s="1208"/>
      <c r="AI215" s="1208"/>
      <c r="AJ215" s="1208"/>
      <c r="AK215" s="1208"/>
      <c r="AL215" s="1208"/>
      <c r="AM215" s="1208"/>
      <c r="AN215" s="1208"/>
      <c r="AO215" s="1208"/>
      <c r="AP215" s="1208"/>
      <c r="AQ215" s="1208"/>
      <c r="AR215" s="1208"/>
      <c r="AS215" s="1208"/>
      <c r="AT215" s="1208"/>
      <c r="AU215" s="1208"/>
      <c r="AV215" s="1208"/>
      <c r="AW215" s="1208"/>
      <c r="AX215" s="1208"/>
      <c r="AY215" s="1208"/>
      <c r="AZ215" s="1208"/>
      <c r="BA215" s="1208"/>
      <c r="BB215" s="1208"/>
      <c r="BC215" s="1208"/>
      <c r="BD215" s="1208"/>
      <c r="BE215" s="1215"/>
    </row>
    <row r="216" spans="1:57" ht="15.75" customHeight="1">
      <c r="A216" s="1208"/>
      <c r="B216" s="1895" t="s">
        <v>2233</v>
      </c>
      <c r="C216" s="1896"/>
      <c r="D216" s="1896"/>
      <c r="E216" s="1896"/>
      <c r="F216" s="1896"/>
      <c r="G216" s="1896"/>
      <c r="H216" s="1896"/>
      <c r="I216" s="1896"/>
      <c r="J216" s="1896"/>
      <c r="K216" s="1896"/>
      <c r="L216" s="1896"/>
      <c r="M216" s="1896"/>
      <c r="N216" s="1896"/>
      <c r="O216" s="1896"/>
      <c r="P216" s="1896"/>
      <c r="Q216" s="1896"/>
      <c r="R216" s="1896"/>
      <c r="S216" s="1896"/>
      <c r="T216" s="1896"/>
      <c r="U216" s="1896"/>
      <c r="V216" s="1896"/>
      <c r="W216" s="1896"/>
      <c r="X216" s="1896"/>
      <c r="Y216" s="1896"/>
      <c r="Z216" s="1896"/>
      <c r="AA216" s="1896"/>
      <c r="AB216" s="1896"/>
      <c r="AC216" s="1896"/>
      <c r="AD216" s="1896"/>
      <c r="AE216" s="1896"/>
      <c r="AF216" s="1896"/>
      <c r="AG216" s="1896"/>
      <c r="AH216" s="1896"/>
      <c r="AI216" s="1896"/>
      <c r="AJ216" s="1896"/>
      <c r="AK216" s="1896"/>
      <c r="AL216" s="1896"/>
      <c r="AM216" s="1896"/>
      <c r="AN216" s="1896"/>
      <c r="AO216" s="1896"/>
      <c r="AP216" s="1896"/>
      <c r="AQ216" s="1896"/>
      <c r="AR216" s="1896"/>
      <c r="AS216" s="1896"/>
      <c r="AT216" s="1896"/>
      <c r="AU216" s="1896"/>
      <c r="AV216" s="1896"/>
      <c r="AW216" s="1896"/>
      <c r="AX216" s="1896"/>
      <c r="AY216" s="1896"/>
      <c r="AZ216" s="1896"/>
      <c r="BA216" s="1896"/>
      <c r="BB216" s="1896"/>
      <c r="BC216" s="1896"/>
      <c r="BD216" s="1897"/>
      <c r="BE216" s="1215"/>
    </row>
    <row r="217" spans="1:57" ht="15.75" customHeight="1">
      <c r="A217" s="1208"/>
      <c r="B217" s="1898"/>
      <c r="C217" s="1899"/>
      <c r="D217" s="1899"/>
      <c r="E217" s="1899"/>
      <c r="F217" s="1899"/>
      <c r="G217" s="1899"/>
      <c r="H217" s="1899"/>
      <c r="I217" s="1899"/>
      <c r="J217" s="1899"/>
      <c r="K217" s="1899"/>
      <c r="L217" s="1899"/>
      <c r="M217" s="1899"/>
      <c r="N217" s="1899"/>
      <c r="O217" s="1899"/>
      <c r="P217" s="1899"/>
      <c r="Q217" s="1899"/>
      <c r="R217" s="1899"/>
      <c r="S217" s="1899"/>
      <c r="T217" s="1899"/>
      <c r="U217" s="1899"/>
      <c r="V217" s="1899"/>
      <c r="W217" s="1899"/>
      <c r="X217" s="1899"/>
      <c r="Y217" s="1899"/>
      <c r="Z217" s="1899"/>
      <c r="AA217" s="1899"/>
      <c r="AB217" s="1899"/>
      <c r="AC217" s="1899"/>
      <c r="AD217" s="1899"/>
      <c r="AE217" s="1899"/>
      <c r="AF217" s="1899"/>
      <c r="AG217" s="1899"/>
      <c r="AH217" s="1899"/>
      <c r="AI217" s="1899"/>
      <c r="AJ217" s="1899"/>
      <c r="AK217" s="1899"/>
      <c r="AL217" s="1899"/>
      <c r="AM217" s="1899"/>
      <c r="AN217" s="1899"/>
      <c r="AO217" s="1899"/>
      <c r="AP217" s="1899"/>
      <c r="AQ217" s="1899"/>
      <c r="AR217" s="1899"/>
      <c r="AS217" s="1899"/>
      <c r="AT217" s="1899"/>
      <c r="AU217" s="1899"/>
      <c r="AV217" s="1899"/>
      <c r="AW217" s="1899"/>
      <c r="AX217" s="1899"/>
      <c r="AY217" s="1899"/>
      <c r="AZ217" s="1899"/>
      <c r="BA217" s="1899"/>
      <c r="BB217" s="1899"/>
      <c r="BC217" s="1899"/>
      <c r="BD217" s="1900"/>
      <c r="BE217" s="1215"/>
    </row>
    <row r="218" spans="1:57" ht="15.75" customHeight="1">
      <c r="A218" s="1208"/>
      <c r="B218" s="1901" t="s">
        <v>2232</v>
      </c>
      <c r="C218" s="1902"/>
      <c r="D218" s="1902"/>
      <c r="E218" s="1902"/>
      <c r="F218" s="1902"/>
      <c r="G218" s="1902"/>
      <c r="H218" s="1902"/>
      <c r="I218" s="1902"/>
      <c r="J218" s="1902"/>
      <c r="K218" s="1902"/>
      <c r="L218" s="1902"/>
      <c r="M218" s="1902"/>
      <c r="N218" s="1902"/>
      <c r="O218" s="1902"/>
      <c r="P218" s="1902"/>
      <c r="Q218" s="1902"/>
      <c r="R218" s="1902"/>
      <c r="S218" s="1902"/>
      <c r="T218" s="1902"/>
      <c r="U218" s="1902"/>
      <c r="V218" s="1902"/>
      <c r="W218" s="1902"/>
      <c r="X218" s="1902"/>
      <c r="Y218" s="1902"/>
      <c r="Z218" s="1902"/>
      <c r="AA218" s="1902"/>
      <c r="AB218" s="1902"/>
      <c r="AC218" s="1902"/>
      <c r="AD218" s="1902"/>
      <c r="AE218" s="1902"/>
      <c r="AF218" s="1902"/>
      <c r="AG218" s="1902"/>
      <c r="AH218" s="1902"/>
      <c r="AI218" s="1902"/>
      <c r="AJ218" s="1902"/>
      <c r="AK218" s="1902"/>
      <c r="AL218" s="1902"/>
      <c r="AM218" s="1902"/>
      <c r="AN218" s="1902"/>
      <c r="AO218" s="1902"/>
      <c r="AP218" s="1902"/>
      <c r="AQ218" s="1902"/>
      <c r="AR218" s="1902"/>
      <c r="AS218" s="1902"/>
      <c r="AT218" s="1902"/>
      <c r="AU218" s="1902"/>
      <c r="AV218" s="1902"/>
      <c r="AW218" s="1902"/>
      <c r="AX218" s="1902"/>
      <c r="AY218" s="1902"/>
      <c r="AZ218" s="1902"/>
      <c r="BA218" s="1902"/>
      <c r="BB218" s="1902"/>
      <c r="BC218" s="1902"/>
      <c r="BD218" s="1903"/>
      <c r="BE218" s="1215"/>
    </row>
    <row r="219" spans="1:57" ht="15.75" customHeight="1">
      <c r="A219" s="1208"/>
      <c r="B219" s="1901" t="s">
        <v>2231</v>
      </c>
      <c r="C219" s="1902"/>
      <c r="D219" s="1902"/>
      <c r="E219" s="1902"/>
      <c r="F219" s="1902"/>
      <c r="G219" s="1902"/>
      <c r="H219" s="1902"/>
      <c r="I219" s="1902"/>
      <c r="J219" s="1902"/>
      <c r="K219" s="1902"/>
      <c r="L219" s="1902"/>
      <c r="M219" s="1902"/>
      <c r="N219" s="1902"/>
      <c r="O219" s="1902"/>
      <c r="P219" s="1902"/>
      <c r="Q219" s="1902"/>
      <c r="R219" s="1902"/>
      <c r="S219" s="1902"/>
      <c r="T219" s="1902"/>
      <c r="U219" s="1902"/>
      <c r="V219" s="1902"/>
      <c r="W219" s="1902"/>
      <c r="X219" s="1902"/>
      <c r="Y219" s="1902"/>
      <c r="Z219" s="1902"/>
      <c r="AA219" s="1902"/>
      <c r="AB219" s="1902"/>
      <c r="AC219" s="1902"/>
      <c r="AD219" s="1902"/>
      <c r="AE219" s="1902"/>
      <c r="AF219" s="1902"/>
      <c r="AG219" s="1902"/>
      <c r="AH219" s="1902"/>
      <c r="AI219" s="1902"/>
      <c r="AJ219" s="1902"/>
      <c r="AK219" s="1902"/>
      <c r="AL219" s="1902"/>
      <c r="AM219" s="1902"/>
      <c r="AN219" s="1902"/>
      <c r="AO219" s="1902"/>
      <c r="AP219" s="1902"/>
      <c r="AQ219" s="1902"/>
      <c r="AR219" s="1902"/>
      <c r="AS219" s="1902"/>
      <c r="AT219" s="1902"/>
      <c r="AU219" s="1902"/>
      <c r="AV219" s="1902"/>
      <c r="AW219" s="1902"/>
      <c r="AX219" s="1902"/>
      <c r="AY219" s="1902"/>
      <c r="AZ219" s="1902"/>
      <c r="BA219" s="1902"/>
      <c r="BB219" s="1902"/>
      <c r="BC219" s="1902"/>
      <c r="BD219" s="1903"/>
      <c r="BE219" s="1215"/>
    </row>
    <row r="220" spans="1:57" ht="15.75" customHeight="1">
      <c r="A220" s="1208"/>
      <c r="B220" s="1207"/>
      <c r="C220" s="1208"/>
      <c r="D220" s="1208"/>
      <c r="E220" s="1208"/>
      <c r="F220" s="1208"/>
      <c r="G220" s="1208"/>
      <c r="H220" s="1208"/>
      <c r="I220" s="1208"/>
      <c r="J220" s="1208"/>
      <c r="K220" s="1208"/>
      <c r="L220" s="1208"/>
      <c r="M220" s="1208"/>
      <c r="N220" s="1208"/>
      <c r="O220" s="1208"/>
      <c r="P220" s="1208"/>
      <c r="Q220" s="1208"/>
      <c r="R220" s="1208"/>
      <c r="S220" s="1208"/>
      <c r="T220" s="1208"/>
      <c r="U220" s="1208"/>
      <c r="V220" s="1208"/>
      <c r="W220" s="1208"/>
      <c r="X220" s="1208"/>
      <c r="Y220" s="1208"/>
      <c r="Z220" s="1208"/>
      <c r="AA220" s="1208"/>
      <c r="AB220" s="1208"/>
      <c r="AC220" s="1208"/>
      <c r="AD220" s="1208"/>
      <c r="AE220" s="1208"/>
      <c r="AF220" s="1208"/>
      <c r="AG220" s="1208"/>
      <c r="AH220" s="1208"/>
      <c r="AI220" s="1208"/>
      <c r="AJ220" s="1208"/>
      <c r="AK220" s="1208"/>
      <c r="AL220" s="1208"/>
      <c r="AM220" s="1208"/>
      <c r="AN220" s="1208"/>
      <c r="AO220" s="1208"/>
      <c r="AP220" s="1208"/>
      <c r="AQ220" s="1208"/>
      <c r="AR220" s="1208"/>
      <c r="AS220" s="1208"/>
      <c r="AT220" s="1208"/>
      <c r="AU220" s="1208"/>
      <c r="AV220" s="1208"/>
      <c r="AW220" s="1208"/>
      <c r="AX220" s="1208"/>
      <c r="AY220" s="1208"/>
      <c r="AZ220" s="1208"/>
      <c r="BA220" s="1208"/>
      <c r="BB220" s="1208"/>
      <c r="BC220" s="1208"/>
      <c r="BD220" s="1215"/>
      <c r="BE220" s="1215"/>
    </row>
    <row r="221" spans="1:57" ht="15.75" customHeight="1">
      <c r="A221" s="1208"/>
      <c r="B221" s="1904" t="s">
        <v>2230</v>
      </c>
      <c r="C221" s="1905"/>
      <c r="D221" s="1905"/>
      <c r="E221" s="1905"/>
      <c r="F221" s="1905"/>
      <c r="G221" s="1905"/>
      <c r="H221" s="1905"/>
      <c r="I221" s="1905"/>
      <c r="J221" s="1905"/>
      <c r="K221" s="1905"/>
      <c r="L221" s="1905"/>
      <c r="M221" s="1905"/>
      <c r="N221" s="1905"/>
      <c r="O221" s="1905"/>
      <c r="P221" s="1905"/>
      <c r="Q221" s="1905"/>
      <c r="R221" s="1905"/>
      <c r="S221" s="1905"/>
      <c r="T221" s="1905"/>
      <c r="U221" s="1905"/>
      <c r="V221" s="1905"/>
      <c r="W221" s="1905"/>
      <c r="X221" s="1905"/>
      <c r="Y221" s="1905"/>
      <c r="Z221" s="1905"/>
      <c r="AA221" s="1905"/>
      <c r="AB221" s="1905"/>
      <c r="AC221" s="1905"/>
      <c r="AD221" s="1905"/>
      <c r="AE221" s="1905"/>
      <c r="AF221" s="1905"/>
      <c r="AG221" s="1905"/>
      <c r="AH221" s="1905"/>
      <c r="AI221" s="1905"/>
      <c r="AJ221" s="1905"/>
      <c r="AK221" s="1905"/>
      <c r="AL221" s="1905"/>
      <c r="AM221" s="1905"/>
      <c r="AN221" s="1905"/>
      <c r="AO221" s="1905"/>
      <c r="AP221" s="1905"/>
      <c r="AQ221" s="1905"/>
      <c r="AR221" s="1905"/>
      <c r="AS221" s="1905"/>
      <c r="AT221" s="1905"/>
      <c r="AU221" s="1905"/>
      <c r="AV221" s="1905"/>
      <c r="AW221" s="1905"/>
      <c r="AX221" s="1905"/>
      <c r="AY221" s="1905"/>
      <c r="AZ221" s="1905"/>
      <c r="BA221" s="1905"/>
      <c r="BB221" s="1905"/>
      <c r="BC221" s="1905"/>
      <c r="BD221" s="1906"/>
      <c r="BE221" s="1215"/>
    </row>
    <row r="222" spans="1:57" ht="15.75" customHeight="1">
      <c r="A222" s="1208"/>
      <c r="B222" s="1253"/>
      <c r="C222" s="1208"/>
      <c r="D222" s="1208"/>
      <c r="E222" s="1208"/>
      <c r="F222" s="1208"/>
      <c r="G222" s="1208"/>
      <c r="H222" s="1208"/>
      <c r="I222" s="1208"/>
      <c r="J222" s="1208"/>
      <c r="K222" s="1208"/>
      <c r="L222" s="1208"/>
      <c r="M222" s="1208"/>
      <c r="N222" s="1208"/>
      <c r="O222" s="1208"/>
      <c r="P222" s="1208"/>
      <c r="Q222" s="1208"/>
      <c r="R222" s="1208"/>
      <c r="S222" s="1208"/>
      <c r="T222" s="1208"/>
      <c r="U222" s="1208"/>
      <c r="V222" s="1208"/>
      <c r="W222" s="1208"/>
      <c r="X222" s="1208"/>
      <c r="Y222" s="1208"/>
      <c r="Z222" s="1208"/>
      <c r="AA222" s="1208"/>
      <c r="AB222" s="1208"/>
      <c r="AC222" s="1208"/>
      <c r="AD222" s="1208"/>
      <c r="AE222" s="1208"/>
      <c r="AF222" s="1208"/>
      <c r="AG222" s="1208"/>
      <c r="AH222" s="1208"/>
      <c r="AI222" s="1208"/>
      <c r="AJ222" s="1208"/>
      <c r="AK222" s="1208"/>
      <c r="AL222" s="1208"/>
      <c r="AM222" s="1208"/>
      <c r="AN222" s="1208"/>
      <c r="AO222" s="1208"/>
      <c r="AP222" s="1208"/>
      <c r="AQ222" s="1208"/>
      <c r="AR222" s="1208"/>
      <c r="AS222" s="1208"/>
      <c r="AT222" s="1208"/>
      <c r="AU222" s="1208"/>
      <c r="AV222" s="1208"/>
      <c r="AW222" s="1208"/>
      <c r="AX222" s="1208"/>
      <c r="AY222" s="1208"/>
      <c r="AZ222" s="1208"/>
      <c r="BA222" s="1208"/>
      <c r="BB222" s="1208"/>
      <c r="BC222" s="1208"/>
      <c r="BD222" s="1215"/>
      <c r="BE222" s="1215"/>
    </row>
    <row r="223" spans="1:57" ht="15.75" customHeight="1">
      <c r="A223" s="1208"/>
      <c r="B223" s="1254"/>
      <c r="C223" s="1208"/>
      <c r="D223" s="1208"/>
      <c r="E223" s="1208"/>
      <c r="F223" s="1208"/>
      <c r="G223" s="1208"/>
      <c r="H223" s="1209" t="s">
        <v>2229</v>
      </c>
      <c r="I223" s="1208"/>
      <c r="J223" s="1208"/>
      <c r="K223" s="1208"/>
      <c r="L223" s="1208"/>
      <c r="M223" s="1208"/>
      <c r="N223" s="1208"/>
      <c r="O223" s="1208"/>
      <c r="P223" s="1208"/>
      <c r="Q223" s="1208"/>
      <c r="R223" s="1208"/>
      <c r="S223" s="1208"/>
      <c r="T223" s="1208"/>
      <c r="U223" s="1208"/>
      <c r="V223" s="1208"/>
      <c r="W223" s="1208"/>
      <c r="X223" s="1208"/>
      <c r="Y223" s="1208"/>
      <c r="Z223" s="1208"/>
      <c r="AA223" s="1208"/>
      <c r="AB223" s="1208"/>
      <c r="AC223" s="1208"/>
      <c r="AD223" s="1208"/>
      <c r="AE223" s="1208"/>
      <c r="AF223" s="1208"/>
      <c r="AG223" s="1208"/>
      <c r="AH223" s="1208"/>
      <c r="AI223" s="1208"/>
      <c r="AJ223" s="1208"/>
      <c r="AK223" s="1208"/>
      <c r="AL223" s="1208"/>
      <c r="AM223" s="1208"/>
      <c r="AN223" s="1208"/>
      <c r="AO223" s="1208"/>
      <c r="AP223" s="1208"/>
      <c r="AQ223" s="1208"/>
      <c r="AR223" s="1208"/>
      <c r="AS223" s="1208"/>
      <c r="AT223" s="1208"/>
      <c r="AU223" s="1208"/>
      <c r="AV223" s="1208"/>
      <c r="AW223" s="1208"/>
      <c r="AX223" s="1208"/>
      <c r="AY223" s="1208"/>
      <c r="AZ223" s="1208"/>
      <c r="BA223" s="1208"/>
      <c r="BB223" s="1208"/>
      <c r="BC223" s="1208"/>
      <c r="BD223" s="1215"/>
      <c r="BE223" s="1215"/>
    </row>
    <row r="224" spans="1:57" ht="15.75" customHeight="1">
      <c r="A224" s="1208"/>
      <c r="B224" s="1254"/>
      <c r="C224" s="1208"/>
      <c r="D224" s="1208"/>
      <c r="E224" s="1208"/>
      <c r="F224" s="1208"/>
      <c r="G224" s="1208"/>
      <c r="H224" s="1208"/>
      <c r="I224" s="1208"/>
      <c r="J224" s="1208"/>
      <c r="K224" s="1208"/>
      <c r="L224" s="1208"/>
      <c r="M224" s="1208"/>
      <c r="N224" s="1208"/>
      <c r="O224" s="1208"/>
      <c r="P224" s="1208"/>
      <c r="Q224" s="1208"/>
      <c r="R224" s="1208"/>
      <c r="S224" s="1208"/>
      <c r="T224" s="1208"/>
      <c r="U224" s="1208"/>
      <c r="V224" s="1208"/>
      <c r="W224" s="1208"/>
      <c r="X224" s="1208"/>
      <c r="Y224" s="1208"/>
      <c r="Z224" s="1208"/>
      <c r="AA224" s="1208"/>
      <c r="AB224" s="1208"/>
      <c r="AC224" s="1208"/>
      <c r="AD224" s="1208"/>
      <c r="AE224" s="1208"/>
      <c r="AF224" s="1208"/>
      <c r="AG224" s="1208"/>
      <c r="AH224" s="1208"/>
      <c r="AI224" s="1208"/>
      <c r="AJ224" s="1208"/>
      <c r="AK224" s="1208"/>
      <c r="AL224" s="1208"/>
      <c r="AM224" s="1208"/>
      <c r="AN224" s="1208"/>
      <c r="AO224" s="1208"/>
      <c r="AP224" s="1208"/>
      <c r="AQ224" s="1208"/>
      <c r="AR224" s="1208"/>
      <c r="AS224" s="1208"/>
      <c r="AT224" s="1208"/>
      <c r="AU224" s="1208"/>
      <c r="AV224" s="1208"/>
      <c r="AW224" s="1208"/>
      <c r="AX224" s="1208"/>
      <c r="AY224" s="1208"/>
      <c r="AZ224" s="1208"/>
      <c r="BA224" s="1208"/>
      <c r="BB224" s="1208"/>
      <c r="BC224" s="1208"/>
      <c r="BD224" s="1215"/>
      <c r="BE224" s="1215"/>
    </row>
    <row r="225" spans="1:57" ht="15.75" customHeight="1">
      <c r="A225" s="1208"/>
      <c r="B225" s="1254"/>
      <c r="C225" s="1208"/>
      <c r="D225" s="1208"/>
      <c r="E225" s="1208"/>
      <c r="F225" s="1208"/>
      <c r="G225" s="1208"/>
      <c r="H225" s="1907" t="s">
        <v>2228</v>
      </c>
      <c r="I225" s="1907"/>
      <c r="J225" s="1907"/>
      <c r="K225" s="1907"/>
      <c r="L225" s="1907"/>
      <c r="M225" s="1907"/>
      <c r="N225" s="1907"/>
      <c r="O225" s="1907"/>
      <c r="P225" s="1907"/>
      <c r="Q225" s="1907"/>
      <c r="R225" s="1907"/>
      <c r="S225" s="1907"/>
      <c r="T225" s="1907"/>
      <c r="U225" s="1907"/>
      <c r="V225" s="1907"/>
      <c r="W225" s="1907"/>
      <c r="X225" s="1907"/>
      <c r="Y225" s="1907"/>
      <c r="Z225" s="1907"/>
      <c r="AA225" s="1907"/>
      <c r="AB225" s="1907"/>
      <c r="AC225" s="1907"/>
      <c r="AD225" s="1907"/>
      <c r="AE225" s="1907"/>
      <c r="AF225" s="1907"/>
      <c r="AG225" s="1907"/>
      <c r="AH225" s="1907"/>
      <c r="AI225" s="1907"/>
      <c r="AJ225" s="1907"/>
      <c r="AK225" s="1907"/>
      <c r="AL225" s="1907"/>
      <c r="AM225" s="1907"/>
      <c r="AN225" s="1907"/>
      <c r="AO225" s="1907"/>
      <c r="AP225" s="1907"/>
      <c r="AQ225" s="1907"/>
      <c r="AR225" s="1907"/>
      <c r="AS225" s="1907"/>
      <c r="AT225" s="1907"/>
      <c r="AU225" s="1907"/>
      <c r="AV225" s="1907"/>
      <c r="AW225" s="1907"/>
      <c r="AX225" s="1907"/>
      <c r="AY225" s="1907"/>
      <c r="AZ225" s="1208"/>
      <c r="BA225" s="1208"/>
      <c r="BB225" s="1208"/>
      <c r="BC225" s="1208"/>
      <c r="BD225" s="1215"/>
      <c r="BE225" s="1215"/>
    </row>
    <row r="226" spans="1:57" ht="15.75" customHeight="1">
      <c r="A226" s="1208"/>
      <c r="B226" s="1254"/>
      <c r="C226" s="1208"/>
      <c r="D226" s="1208"/>
      <c r="E226" s="1208"/>
      <c r="F226" s="1208"/>
      <c r="G226" s="1208"/>
      <c r="H226" s="1208"/>
      <c r="I226" s="1208"/>
      <c r="J226" s="1208"/>
      <c r="K226" s="1208"/>
      <c r="L226" s="1208"/>
      <c r="M226" s="1208"/>
      <c r="N226" s="1208"/>
      <c r="O226" s="1208"/>
      <c r="P226" s="1208"/>
      <c r="Q226" s="1208"/>
      <c r="R226" s="1208"/>
      <c r="S226" s="1208"/>
      <c r="T226" s="1208"/>
      <c r="U226" s="1208"/>
      <c r="V226" s="1208"/>
      <c r="W226" s="1208"/>
      <c r="X226" s="1208"/>
      <c r="Y226" s="1208"/>
      <c r="Z226" s="1208"/>
      <c r="AA226" s="1208"/>
      <c r="AB226" s="1208"/>
      <c r="AC226" s="1208"/>
      <c r="AD226" s="1208"/>
      <c r="AE226" s="1208"/>
      <c r="AF226" s="1208"/>
      <c r="AG226" s="1208"/>
      <c r="AH226" s="1208"/>
      <c r="AI226" s="1208"/>
      <c r="AJ226" s="1208"/>
      <c r="AK226" s="1208"/>
      <c r="AL226" s="1208"/>
      <c r="AM226" s="1208"/>
      <c r="AN226" s="1208"/>
      <c r="AO226" s="1208"/>
      <c r="AP226" s="1208"/>
      <c r="AQ226" s="1208"/>
      <c r="AR226" s="1208"/>
      <c r="AS226" s="1208"/>
      <c r="AT226" s="1208"/>
      <c r="AU226" s="1208"/>
      <c r="AV226" s="1208"/>
      <c r="AW226" s="1208"/>
      <c r="AX226" s="1208"/>
      <c r="AY226" s="1208"/>
      <c r="AZ226" s="1208"/>
      <c r="BA226" s="1208"/>
      <c r="BB226" s="1208"/>
      <c r="BC226" s="1208"/>
      <c r="BD226" s="1215"/>
      <c r="BE226" s="1215"/>
    </row>
    <row r="227" spans="1:57" ht="15.75" customHeight="1">
      <c r="A227" s="1208"/>
      <c r="B227" s="1254"/>
      <c r="C227" s="1208"/>
      <c r="D227" s="1208"/>
      <c r="E227" s="1208"/>
      <c r="F227" s="1208"/>
      <c r="G227" s="1208"/>
      <c r="H227" s="1890" t="s">
        <v>2227</v>
      </c>
      <c r="I227" s="1890"/>
      <c r="J227" s="1890"/>
      <c r="K227" s="1890"/>
      <c r="L227" s="1890"/>
      <c r="M227" s="1890"/>
      <c r="N227" s="1890"/>
      <c r="O227" s="1890"/>
      <c r="P227" s="1890"/>
      <c r="Q227" s="1890"/>
      <c r="R227" s="1890"/>
      <c r="S227" s="1890"/>
      <c r="T227" s="1890"/>
      <c r="U227" s="1890"/>
      <c r="V227" s="1890"/>
      <c r="W227" s="1890"/>
      <c r="X227" s="1890"/>
      <c r="Y227" s="1890"/>
      <c r="Z227" s="1890"/>
      <c r="AA227" s="1890"/>
      <c r="AB227" s="1890"/>
      <c r="AC227" s="1890"/>
      <c r="AD227" s="1890"/>
      <c r="AE227" s="1890"/>
      <c r="AF227" s="1890"/>
      <c r="AG227" s="1890"/>
      <c r="AH227" s="1890"/>
      <c r="AI227" s="1890"/>
      <c r="AJ227" s="1890"/>
      <c r="AK227" s="1890"/>
      <c r="AL227" s="1890"/>
      <c r="AM227" s="1890"/>
      <c r="AN227" s="1890"/>
      <c r="AO227" s="1890"/>
      <c r="AP227" s="1890"/>
      <c r="AQ227" s="1890"/>
      <c r="AR227" s="1890"/>
      <c r="AS227" s="1890"/>
      <c r="AT227" s="1890"/>
      <c r="AU227" s="1890"/>
      <c r="AV227" s="1890"/>
      <c r="AW227" s="1890"/>
      <c r="AX227" s="1890"/>
      <c r="AY227" s="1890"/>
      <c r="AZ227" s="1890"/>
      <c r="BA227" s="1208"/>
      <c r="BB227" s="1208"/>
      <c r="BC227" s="1208"/>
      <c r="BD227" s="1215"/>
      <c r="BE227" s="1215"/>
    </row>
    <row r="228" spans="1:57" ht="15.75" customHeight="1">
      <c r="A228" s="1208"/>
      <c r="B228" s="1207"/>
      <c r="C228" s="1208"/>
      <c r="D228" s="1208"/>
      <c r="E228" s="1208"/>
      <c r="F228" s="1208"/>
      <c r="G228" s="1208"/>
      <c r="H228" s="1890"/>
      <c r="I228" s="1890"/>
      <c r="J228" s="1890"/>
      <c r="K228" s="1890"/>
      <c r="L228" s="1890"/>
      <c r="M228" s="1890"/>
      <c r="N228" s="1890"/>
      <c r="O228" s="1890"/>
      <c r="P228" s="1890"/>
      <c r="Q228" s="1890"/>
      <c r="R228" s="1890"/>
      <c r="S228" s="1890"/>
      <c r="T228" s="1890"/>
      <c r="U228" s="1890"/>
      <c r="V228" s="1890"/>
      <c r="W228" s="1890"/>
      <c r="X228" s="1890"/>
      <c r="Y228" s="1890"/>
      <c r="Z228" s="1890"/>
      <c r="AA228" s="1890"/>
      <c r="AB228" s="1890"/>
      <c r="AC228" s="1890"/>
      <c r="AD228" s="1890"/>
      <c r="AE228" s="1890"/>
      <c r="AF228" s="1890"/>
      <c r="AG228" s="1890"/>
      <c r="AH228" s="1890"/>
      <c r="AI228" s="1890"/>
      <c r="AJ228" s="1890"/>
      <c r="AK228" s="1890"/>
      <c r="AL228" s="1890"/>
      <c r="AM228" s="1890"/>
      <c r="AN228" s="1890"/>
      <c r="AO228" s="1890"/>
      <c r="AP228" s="1890"/>
      <c r="AQ228" s="1890"/>
      <c r="AR228" s="1890"/>
      <c r="AS228" s="1890"/>
      <c r="AT228" s="1890"/>
      <c r="AU228" s="1890"/>
      <c r="AV228" s="1890"/>
      <c r="AW228" s="1890"/>
      <c r="AX228" s="1890"/>
      <c r="AY228" s="1890"/>
      <c r="AZ228" s="1890"/>
      <c r="BA228" s="1208"/>
      <c r="BB228" s="1208"/>
      <c r="BC228" s="1208"/>
      <c r="BD228" s="1215"/>
      <c r="BE228" s="1215"/>
    </row>
    <row r="229" spans="1:57" ht="15.75" customHeight="1">
      <c r="A229" s="1208"/>
      <c r="B229" s="1207"/>
      <c r="C229" s="1208"/>
      <c r="D229" s="1208"/>
      <c r="E229" s="1208"/>
      <c r="F229" s="1208"/>
      <c r="G229" s="1208"/>
      <c r="H229" s="1890"/>
      <c r="I229" s="1890"/>
      <c r="J229" s="1890"/>
      <c r="K229" s="1890"/>
      <c r="L229" s="1890"/>
      <c r="M229" s="1890"/>
      <c r="N229" s="1890"/>
      <c r="O229" s="1890"/>
      <c r="P229" s="1890"/>
      <c r="Q229" s="1890"/>
      <c r="R229" s="1890"/>
      <c r="S229" s="1890"/>
      <c r="T229" s="1890"/>
      <c r="U229" s="1890"/>
      <c r="V229" s="1890"/>
      <c r="W229" s="1890"/>
      <c r="X229" s="1890"/>
      <c r="Y229" s="1890"/>
      <c r="Z229" s="1890"/>
      <c r="AA229" s="1890"/>
      <c r="AB229" s="1890"/>
      <c r="AC229" s="1890"/>
      <c r="AD229" s="1890"/>
      <c r="AE229" s="1890"/>
      <c r="AF229" s="1890"/>
      <c r="AG229" s="1890"/>
      <c r="AH229" s="1890"/>
      <c r="AI229" s="1890"/>
      <c r="AJ229" s="1890"/>
      <c r="AK229" s="1890"/>
      <c r="AL229" s="1890"/>
      <c r="AM229" s="1890"/>
      <c r="AN229" s="1890"/>
      <c r="AO229" s="1890"/>
      <c r="AP229" s="1890"/>
      <c r="AQ229" s="1890"/>
      <c r="AR229" s="1890"/>
      <c r="AS229" s="1890"/>
      <c r="AT229" s="1890"/>
      <c r="AU229" s="1890"/>
      <c r="AV229" s="1890"/>
      <c r="AW229" s="1890"/>
      <c r="AX229" s="1890"/>
      <c r="AY229" s="1890"/>
      <c r="AZ229" s="1890"/>
      <c r="BA229" s="1208"/>
      <c r="BB229" s="1208"/>
      <c r="BC229" s="1208"/>
      <c r="BD229" s="1215"/>
      <c r="BE229" s="1215"/>
    </row>
    <row r="230" spans="1:57" ht="15.75" customHeight="1">
      <c r="A230" s="1208"/>
      <c r="B230" s="1207"/>
      <c r="C230" s="1208"/>
      <c r="D230" s="1208"/>
      <c r="E230" s="1208"/>
      <c r="F230" s="1208"/>
      <c r="G230" s="1208"/>
      <c r="H230" s="1890"/>
      <c r="I230" s="1890"/>
      <c r="J230" s="1890"/>
      <c r="K230" s="1890"/>
      <c r="L230" s="1890"/>
      <c r="M230" s="1890"/>
      <c r="N230" s="1890"/>
      <c r="O230" s="1890"/>
      <c r="P230" s="1890"/>
      <c r="Q230" s="1890"/>
      <c r="R230" s="1890"/>
      <c r="S230" s="1890"/>
      <c r="T230" s="1890"/>
      <c r="U230" s="1890"/>
      <c r="V230" s="1890"/>
      <c r="W230" s="1890"/>
      <c r="X230" s="1890"/>
      <c r="Y230" s="1890"/>
      <c r="Z230" s="1890"/>
      <c r="AA230" s="1890"/>
      <c r="AB230" s="1890"/>
      <c r="AC230" s="1890"/>
      <c r="AD230" s="1890"/>
      <c r="AE230" s="1890"/>
      <c r="AF230" s="1890"/>
      <c r="AG230" s="1890"/>
      <c r="AH230" s="1890"/>
      <c r="AI230" s="1890"/>
      <c r="AJ230" s="1890"/>
      <c r="AK230" s="1890"/>
      <c r="AL230" s="1890"/>
      <c r="AM230" s="1890"/>
      <c r="AN230" s="1890"/>
      <c r="AO230" s="1890"/>
      <c r="AP230" s="1890"/>
      <c r="AQ230" s="1890"/>
      <c r="AR230" s="1890"/>
      <c r="AS230" s="1890"/>
      <c r="AT230" s="1890"/>
      <c r="AU230" s="1890"/>
      <c r="AV230" s="1890"/>
      <c r="AW230" s="1890"/>
      <c r="AX230" s="1890"/>
      <c r="AY230" s="1890"/>
      <c r="AZ230" s="1890"/>
      <c r="BA230" s="1208"/>
      <c r="BB230" s="1208"/>
      <c r="BC230" s="1208"/>
      <c r="BD230" s="1215"/>
      <c r="BE230" s="1215"/>
    </row>
    <row r="231" spans="1:57" ht="15.75" customHeight="1">
      <c r="A231" s="1208"/>
      <c r="B231" s="1207"/>
      <c r="C231" s="1208"/>
      <c r="D231" s="1208"/>
      <c r="E231" s="1208"/>
      <c r="F231" s="1208"/>
      <c r="G231" s="1208"/>
      <c r="H231" s="1208"/>
      <c r="I231" s="1208"/>
      <c r="J231" s="1208"/>
      <c r="K231" s="1208"/>
      <c r="L231" s="1208"/>
      <c r="M231" s="1208"/>
      <c r="N231" s="1208"/>
      <c r="O231" s="1208"/>
      <c r="P231" s="1208"/>
      <c r="Q231" s="1208"/>
      <c r="R231" s="1208"/>
      <c r="S231" s="1208"/>
      <c r="T231" s="1208"/>
      <c r="U231" s="1208"/>
      <c r="V231" s="1208"/>
      <c r="W231" s="1208"/>
      <c r="X231" s="1208"/>
      <c r="Y231" s="1208"/>
      <c r="Z231" s="1208"/>
      <c r="AA231" s="1208"/>
      <c r="AB231" s="1208"/>
      <c r="AC231" s="1208"/>
      <c r="AD231" s="1208"/>
      <c r="AE231" s="1208"/>
      <c r="AF231" s="1208"/>
      <c r="AG231" s="1208"/>
      <c r="AH231" s="1208"/>
      <c r="AI231" s="1208"/>
      <c r="AJ231" s="1208"/>
      <c r="AK231" s="1208"/>
      <c r="AL231" s="1208"/>
      <c r="AM231" s="1208"/>
      <c r="AN231" s="1208"/>
      <c r="AO231" s="1208"/>
      <c r="AP231" s="1208"/>
      <c r="AQ231" s="1208"/>
      <c r="AR231" s="1208"/>
      <c r="AS231" s="1208"/>
      <c r="AT231" s="1208"/>
      <c r="AU231" s="1208"/>
      <c r="AV231" s="1208"/>
      <c r="AW231" s="1208"/>
      <c r="AX231" s="1208"/>
      <c r="AY231" s="1208"/>
      <c r="AZ231" s="1208"/>
      <c r="BA231" s="1208"/>
      <c r="BB231" s="1208"/>
      <c r="BC231" s="1208"/>
      <c r="BD231" s="1215"/>
      <c r="BE231" s="1215"/>
    </row>
    <row r="232" spans="1:57" ht="15.75" customHeight="1" thickBot="1">
      <c r="A232" s="1208"/>
      <c r="B232" s="1255"/>
      <c r="C232" s="1256"/>
      <c r="D232" s="1256"/>
      <c r="E232" s="1256"/>
      <c r="F232" s="1256"/>
      <c r="G232" s="1256"/>
      <c r="H232" s="1891" t="s">
        <v>2226</v>
      </c>
      <c r="I232" s="1891"/>
      <c r="J232" s="1891"/>
      <c r="K232" s="1891"/>
      <c r="L232" s="1891"/>
      <c r="M232" s="1891"/>
      <c r="N232" s="1891"/>
      <c r="O232" s="1891"/>
      <c r="P232" s="1891"/>
      <c r="Q232" s="1891"/>
      <c r="R232" s="1891"/>
      <c r="S232" s="1891"/>
      <c r="T232" s="1891"/>
      <c r="U232" s="1891"/>
      <c r="V232" s="1891"/>
      <c r="W232" s="1891"/>
      <c r="X232" s="1891"/>
      <c r="Y232" s="1891"/>
      <c r="Z232" s="1891"/>
      <c r="AA232" s="1891"/>
      <c r="AB232" s="1891"/>
      <c r="AC232" s="1891"/>
      <c r="AD232" s="1891"/>
      <c r="AE232" s="1891"/>
      <c r="AF232" s="1891"/>
      <c r="AG232" s="1891"/>
      <c r="AH232" s="1891"/>
      <c r="AI232" s="1891"/>
      <c r="AJ232" s="1891"/>
      <c r="AK232" s="1891"/>
      <c r="AL232" s="1891"/>
      <c r="AM232" s="1891"/>
      <c r="AN232" s="1891"/>
      <c r="AO232" s="1891"/>
      <c r="AP232" s="1891"/>
      <c r="AQ232" s="1891"/>
      <c r="AR232" s="1891"/>
      <c r="AS232" s="1891"/>
      <c r="AT232" s="1891"/>
      <c r="AU232" s="1891"/>
      <c r="AV232" s="1891"/>
      <c r="AW232" s="1256"/>
      <c r="AX232" s="1256"/>
      <c r="AY232" s="1256"/>
      <c r="AZ232" s="1256"/>
      <c r="BA232" s="1256"/>
      <c r="BB232" s="1256"/>
      <c r="BC232" s="1256"/>
      <c r="BD232" s="1257"/>
      <c r="BE232" s="1215"/>
    </row>
    <row r="233" spans="1:57" ht="15.75" customHeight="1" thickBot="1">
      <c r="A233" s="1208"/>
      <c r="B233" s="1258"/>
      <c r="C233" s="1259"/>
      <c r="D233" s="1259"/>
      <c r="E233" s="1259"/>
      <c r="F233" s="1259"/>
      <c r="G233" s="1259"/>
      <c r="H233" s="1259"/>
      <c r="I233" s="1259"/>
      <c r="J233" s="1259"/>
      <c r="K233" s="1259"/>
      <c r="L233" s="1259"/>
      <c r="M233" s="1259"/>
      <c r="N233" s="1259"/>
      <c r="O233" s="1259"/>
      <c r="P233" s="1259"/>
      <c r="Q233" s="1259"/>
      <c r="R233" s="1259"/>
      <c r="S233" s="1259"/>
      <c r="T233" s="1259"/>
      <c r="U233" s="1259"/>
      <c r="V233" s="1259"/>
      <c r="W233" s="1259"/>
      <c r="X233" s="1259"/>
      <c r="Y233" s="1259"/>
      <c r="Z233" s="1259"/>
      <c r="AA233" s="1259"/>
      <c r="AB233" s="1259"/>
      <c r="AC233" s="1259"/>
      <c r="AD233" s="1259"/>
      <c r="AE233" s="1259"/>
      <c r="AF233" s="1259"/>
      <c r="AG233" s="1259"/>
      <c r="AH233" s="1259"/>
      <c r="AI233" s="1259"/>
      <c r="AJ233" s="1259"/>
      <c r="AK233" s="1259"/>
      <c r="AL233" s="1259"/>
      <c r="AM233" s="1259"/>
      <c r="AN233" s="1259"/>
      <c r="AO233" s="1259"/>
      <c r="AP233" s="1259"/>
      <c r="AQ233" s="1259"/>
      <c r="AR233" s="1259"/>
      <c r="AS233" s="1259"/>
      <c r="AT233" s="1259"/>
      <c r="AU233" s="1259"/>
      <c r="AV233" s="1259"/>
      <c r="AW233" s="1259"/>
      <c r="AX233" s="1259"/>
      <c r="AY233" s="1259"/>
      <c r="AZ233" s="1259"/>
      <c r="BA233" s="1259"/>
      <c r="BB233" s="1259"/>
      <c r="BC233" s="1259"/>
      <c r="BD233" s="1260"/>
      <c r="BE233" s="1215"/>
    </row>
    <row r="234" spans="1:57" ht="30" customHeight="1" thickBot="1">
      <c r="A234" s="1208"/>
      <c r="B234" s="1258"/>
      <c r="C234" s="1259"/>
      <c r="D234" s="1259"/>
      <c r="E234" s="1259"/>
      <c r="F234" s="1259"/>
      <c r="G234" s="1259"/>
      <c r="H234" s="1881" t="s">
        <v>2225</v>
      </c>
      <c r="I234" s="1881"/>
      <c r="J234" s="1881"/>
      <c r="K234" s="1881"/>
      <c r="L234" s="1259"/>
      <c r="M234" s="1259"/>
      <c r="N234" s="1259"/>
      <c r="O234" s="1259"/>
      <c r="P234" s="1259"/>
      <c r="Q234" s="1259"/>
      <c r="R234" s="1259"/>
      <c r="S234" s="1892"/>
      <c r="T234" s="1893"/>
      <c r="U234" s="1893"/>
      <c r="V234" s="1893"/>
      <c r="W234" s="1893"/>
      <c r="X234" s="1893"/>
      <c r="Y234" s="1893"/>
      <c r="Z234" s="1893"/>
      <c r="AA234" s="1893"/>
      <c r="AB234" s="1893"/>
      <c r="AC234" s="1893"/>
      <c r="AD234" s="1893"/>
      <c r="AE234" s="1893"/>
      <c r="AF234" s="1893"/>
      <c r="AG234" s="1893"/>
      <c r="AH234" s="1893"/>
      <c r="AI234" s="1893"/>
      <c r="AJ234" s="1894"/>
      <c r="AK234" s="1259"/>
      <c r="AL234" s="1259"/>
      <c r="AM234" s="1259"/>
      <c r="AN234" s="1259"/>
      <c r="AO234" s="1259"/>
      <c r="AP234" s="1259"/>
      <c r="AQ234" s="1259"/>
      <c r="AR234" s="1259"/>
      <c r="AS234" s="1259"/>
      <c r="AT234" s="1259"/>
      <c r="AU234" s="1259"/>
      <c r="AV234" s="1259"/>
      <c r="AW234" s="1259"/>
      <c r="AX234" s="1259"/>
      <c r="AY234" s="1259"/>
      <c r="AZ234" s="1259"/>
      <c r="BA234" s="1259"/>
      <c r="BB234" s="1259"/>
      <c r="BC234" s="1259"/>
      <c r="BD234" s="1260"/>
      <c r="BE234" s="1215"/>
    </row>
    <row r="235" spans="1:57" ht="15.75" customHeight="1" thickBot="1">
      <c r="A235" s="1208"/>
      <c r="B235" s="1258"/>
      <c r="C235" s="1259"/>
      <c r="D235" s="1259"/>
      <c r="E235" s="1259"/>
      <c r="F235" s="1259"/>
      <c r="G235" s="1259"/>
      <c r="H235" s="1261"/>
      <c r="I235" s="1261"/>
      <c r="J235" s="1261"/>
      <c r="K235" s="1261"/>
      <c r="L235" s="1259"/>
      <c r="M235" s="1259"/>
      <c r="N235" s="1259"/>
      <c r="O235" s="1259"/>
      <c r="P235" s="1259"/>
      <c r="Q235" s="1259"/>
      <c r="R235" s="1259"/>
      <c r="S235" s="1259"/>
      <c r="T235" s="1259"/>
      <c r="U235" s="1259"/>
      <c r="V235" s="1259"/>
      <c r="W235" s="1259"/>
      <c r="X235" s="1259"/>
      <c r="Y235" s="1259"/>
      <c r="Z235" s="1259"/>
      <c r="AA235" s="1259"/>
      <c r="AB235" s="1259"/>
      <c r="AC235" s="1259"/>
      <c r="AD235" s="1259"/>
      <c r="AE235" s="1259"/>
      <c r="AF235" s="1259"/>
      <c r="AG235" s="1259"/>
      <c r="AH235" s="1259"/>
      <c r="AI235" s="1259"/>
      <c r="AJ235" s="1259"/>
      <c r="AK235" s="1259"/>
      <c r="AL235" s="1259"/>
      <c r="AM235" s="1259"/>
      <c r="AN235" s="1259"/>
      <c r="AO235" s="1259"/>
      <c r="AP235" s="1259"/>
      <c r="AQ235" s="1259"/>
      <c r="AR235" s="1259"/>
      <c r="AS235" s="1259"/>
      <c r="AT235" s="1259"/>
      <c r="AU235" s="1259"/>
      <c r="AV235" s="1259"/>
      <c r="AW235" s="1259"/>
      <c r="AX235" s="1259"/>
      <c r="AY235" s="1259"/>
      <c r="AZ235" s="1259"/>
      <c r="BA235" s="1259"/>
      <c r="BB235" s="1259"/>
      <c r="BC235" s="1259"/>
      <c r="BD235" s="1260"/>
      <c r="BE235" s="1215"/>
    </row>
    <row r="236" spans="1:57" ht="15.75" customHeight="1" thickBot="1">
      <c r="A236" s="1208"/>
      <c r="B236" s="1258"/>
      <c r="C236" s="1259"/>
      <c r="D236" s="1259"/>
      <c r="E236" s="1259"/>
      <c r="F236" s="1259"/>
      <c r="G236" s="1259"/>
      <c r="H236" s="1881" t="s">
        <v>2224</v>
      </c>
      <c r="I236" s="1881"/>
      <c r="J236" s="1881"/>
      <c r="K236" s="1261"/>
      <c r="L236" s="1259"/>
      <c r="M236" s="1259"/>
      <c r="N236" s="1259"/>
      <c r="O236" s="1259"/>
      <c r="P236" s="1259"/>
      <c r="Q236" s="1259"/>
      <c r="R236" s="1259"/>
      <c r="S236" s="1882"/>
      <c r="T236" s="1883"/>
      <c r="U236" s="1883"/>
      <c r="V236" s="1883"/>
      <c r="W236" s="1883"/>
      <c r="X236" s="1883"/>
      <c r="Y236" s="1883"/>
      <c r="Z236" s="1883"/>
      <c r="AA236" s="1883"/>
      <c r="AB236" s="1883"/>
      <c r="AC236" s="1883"/>
      <c r="AD236" s="1883"/>
      <c r="AE236" s="1883"/>
      <c r="AF236" s="1883"/>
      <c r="AG236" s="1883"/>
      <c r="AH236" s="1883"/>
      <c r="AI236" s="1883"/>
      <c r="AJ236" s="1884"/>
      <c r="AK236" s="1259"/>
      <c r="AL236" s="1259"/>
      <c r="AM236" s="1259"/>
      <c r="AN236" s="1259"/>
      <c r="AO236" s="1259"/>
      <c r="AP236" s="1259"/>
      <c r="AQ236" s="1259"/>
      <c r="AR236" s="1259"/>
      <c r="AS236" s="1259"/>
      <c r="AT236" s="1259"/>
      <c r="AU236" s="1259"/>
      <c r="AV236" s="1259"/>
      <c r="AW236" s="1259"/>
      <c r="AX236" s="1259"/>
      <c r="AY236" s="1259"/>
      <c r="AZ236" s="1259"/>
      <c r="BA236" s="1259"/>
      <c r="BB236" s="1259"/>
      <c r="BC236" s="1259"/>
      <c r="BD236" s="1260"/>
      <c r="BE236" s="1215"/>
    </row>
    <row r="237" spans="1:57" ht="15.75" customHeight="1" thickBot="1">
      <c r="A237" s="1208"/>
      <c r="B237" s="1258"/>
      <c r="C237" s="1259"/>
      <c r="D237" s="1259"/>
      <c r="E237" s="1259"/>
      <c r="F237" s="1259"/>
      <c r="G237" s="1259"/>
      <c r="H237" s="1261"/>
      <c r="I237" s="1261"/>
      <c r="J237" s="1261"/>
      <c r="K237" s="1261"/>
      <c r="L237" s="1259"/>
      <c r="M237" s="1259"/>
      <c r="N237" s="1259"/>
      <c r="O237" s="1259"/>
      <c r="P237" s="1259"/>
      <c r="Q237" s="1259"/>
      <c r="R237" s="1259"/>
      <c r="S237" s="1259"/>
      <c r="T237" s="1259"/>
      <c r="U237" s="1259"/>
      <c r="V237" s="1259"/>
      <c r="W237" s="1259"/>
      <c r="X237" s="1259"/>
      <c r="Y237" s="1259"/>
      <c r="Z237" s="1259"/>
      <c r="AA237" s="1259"/>
      <c r="AB237" s="1259"/>
      <c r="AC237" s="1259"/>
      <c r="AD237" s="1259"/>
      <c r="AE237" s="1259"/>
      <c r="AF237" s="1259"/>
      <c r="AG237" s="1259"/>
      <c r="AH237" s="1259"/>
      <c r="AI237" s="1259"/>
      <c r="AJ237" s="1259"/>
      <c r="AK237" s="1259"/>
      <c r="AL237" s="1259"/>
      <c r="AM237" s="1259"/>
      <c r="AN237" s="1259"/>
      <c r="AO237" s="1259"/>
      <c r="AP237" s="1259"/>
      <c r="AQ237" s="1259"/>
      <c r="AR237" s="1259"/>
      <c r="AS237" s="1259"/>
      <c r="AT237" s="1259"/>
      <c r="AU237" s="1259"/>
      <c r="AV237" s="1259"/>
      <c r="AW237" s="1259"/>
      <c r="AX237" s="1259"/>
      <c r="AY237" s="1259"/>
      <c r="AZ237" s="1259"/>
      <c r="BA237" s="1259"/>
      <c r="BB237" s="1259"/>
      <c r="BC237" s="1259"/>
      <c r="BD237" s="1260"/>
      <c r="BE237" s="1215"/>
    </row>
    <row r="238" spans="1:57" ht="15.75" customHeight="1" thickBot="1">
      <c r="A238" s="1208"/>
      <c r="B238" s="1258"/>
      <c r="C238" s="1259"/>
      <c r="D238" s="1259"/>
      <c r="E238" s="1259"/>
      <c r="F238" s="1259"/>
      <c r="G238" s="1259"/>
      <c r="H238" s="1881" t="s">
        <v>441</v>
      </c>
      <c r="I238" s="1881"/>
      <c r="J238" s="1261"/>
      <c r="K238" s="1261"/>
      <c r="L238" s="1259"/>
      <c r="M238" s="1259"/>
      <c r="N238" s="1259"/>
      <c r="O238" s="1259"/>
      <c r="P238" s="1259"/>
      <c r="Q238" s="1259"/>
      <c r="R238" s="1259"/>
      <c r="S238" s="1882"/>
      <c r="T238" s="1883"/>
      <c r="U238" s="1883"/>
      <c r="V238" s="1883"/>
      <c r="W238" s="1883"/>
      <c r="X238" s="1883"/>
      <c r="Y238" s="1883"/>
      <c r="Z238" s="1883"/>
      <c r="AA238" s="1883"/>
      <c r="AB238" s="1883"/>
      <c r="AC238" s="1883"/>
      <c r="AD238" s="1883"/>
      <c r="AE238" s="1883"/>
      <c r="AF238" s="1883"/>
      <c r="AG238" s="1883"/>
      <c r="AH238" s="1883"/>
      <c r="AI238" s="1883"/>
      <c r="AJ238" s="1884"/>
      <c r="AK238" s="1259"/>
      <c r="AL238" s="1259"/>
      <c r="AM238" s="1259"/>
      <c r="AN238" s="1259"/>
      <c r="AO238" s="1259"/>
      <c r="AP238" s="1259"/>
      <c r="AQ238" s="1259"/>
      <c r="AR238" s="1259"/>
      <c r="AS238" s="1259"/>
      <c r="AT238" s="1259"/>
      <c r="AU238" s="1259"/>
      <c r="AV238" s="1259"/>
      <c r="AW238" s="1259"/>
      <c r="AX238" s="1259"/>
      <c r="AY238" s="1259"/>
      <c r="AZ238" s="1259"/>
      <c r="BA238" s="1259"/>
      <c r="BB238" s="1259"/>
      <c r="BC238" s="1259"/>
      <c r="BD238" s="1260"/>
      <c r="BE238" s="1215"/>
    </row>
    <row r="239" spans="1:57" ht="15.75" customHeight="1" thickBot="1">
      <c r="A239" s="1208"/>
      <c r="B239" s="1258"/>
      <c r="C239" s="1259"/>
      <c r="D239" s="1259"/>
      <c r="E239" s="1259"/>
      <c r="F239" s="1259"/>
      <c r="G239" s="1259"/>
      <c r="H239" s="1259"/>
      <c r="I239" s="1259"/>
      <c r="J239" s="1259"/>
      <c r="K239" s="1259"/>
      <c r="L239" s="1259"/>
      <c r="M239" s="1259"/>
      <c r="N239" s="1259"/>
      <c r="O239" s="1259"/>
      <c r="P239" s="1259"/>
      <c r="Q239" s="1259"/>
      <c r="R239" s="1259"/>
      <c r="S239" s="1259"/>
      <c r="T239" s="1259"/>
      <c r="U239" s="1259"/>
      <c r="V239" s="1259"/>
      <c r="W239" s="1259"/>
      <c r="X239" s="1259"/>
      <c r="Y239" s="1259"/>
      <c r="Z239" s="1259"/>
      <c r="AA239" s="1259"/>
      <c r="AB239" s="1259"/>
      <c r="AC239" s="1259"/>
      <c r="AD239" s="1259"/>
      <c r="AE239" s="1259"/>
      <c r="AF239" s="1259"/>
      <c r="AG239" s="1259"/>
      <c r="AH239" s="1259"/>
      <c r="AI239" s="1259"/>
      <c r="AJ239" s="1259"/>
      <c r="AK239" s="1259"/>
      <c r="AL239" s="1259"/>
      <c r="AM239" s="1259"/>
      <c r="AN239" s="1259"/>
      <c r="AO239" s="1259"/>
      <c r="AP239" s="1259"/>
      <c r="AQ239" s="1259"/>
      <c r="AR239" s="1259"/>
      <c r="AS239" s="1259"/>
      <c r="AT239" s="1259"/>
      <c r="AU239" s="1259"/>
      <c r="AV239" s="1259"/>
      <c r="AW239" s="1259"/>
      <c r="AX239" s="1259"/>
      <c r="AY239" s="1259"/>
      <c r="AZ239" s="1259"/>
      <c r="BA239" s="1259"/>
      <c r="BB239" s="1259"/>
      <c r="BC239" s="1259"/>
      <c r="BD239" s="1260"/>
      <c r="BE239" s="1215"/>
    </row>
    <row r="240" spans="1:57" ht="15.75" customHeight="1" thickBot="1">
      <c r="A240" s="1208"/>
      <c r="B240" s="1258"/>
      <c r="C240" s="1259"/>
      <c r="D240" s="1259"/>
      <c r="E240" s="1259"/>
      <c r="F240" s="1259"/>
      <c r="G240" s="1259"/>
      <c r="H240" s="1885" t="s">
        <v>2223</v>
      </c>
      <c r="I240" s="1885"/>
      <c r="J240" s="1885"/>
      <c r="K240" s="1885"/>
      <c r="L240" s="1885"/>
      <c r="M240" s="1885"/>
      <c r="N240" s="1885"/>
      <c r="O240" s="1885"/>
      <c r="P240" s="1259"/>
      <c r="Q240" s="1259"/>
      <c r="R240" s="1259"/>
      <c r="S240" s="1882"/>
      <c r="T240" s="1883"/>
      <c r="U240" s="1883"/>
      <c r="V240" s="1883"/>
      <c r="W240" s="1883"/>
      <c r="X240" s="1883"/>
      <c r="Y240" s="1883"/>
      <c r="Z240" s="1883"/>
      <c r="AA240" s="1883"/>
      <c r="AB240" s="1883"/>
      <c r="AC240" s="1883"/>
      <c r="AD240" s="1883"/>
      <c r="AE240" s="1883"/>
      <c r="AF240" s="1883"/>
      <c r="AG240" s="1883"/>
      <c r="AH240" s="1883"/>
      <c r="AI240" s="1883"/>
      <c r="AJ240" s="1884"/>
      <c r="AK240" s="1259"/>
      <c r="AL240" s="1259"/>
      <c r="AM240" s="1259"/>
      <c r="AN240" s="1259"/>
      <c r="AO240" s="1259"/>
      <c r="AP240" s="1259"/>
      <c r="AQ240" s="1259"/>
      <c r="AR240" s="1259"/>
      <c r="AS240" s="1259"/>
      <c r="AT240" s="1259"/>
      <c r="AU240" s="1259"/>
      <c r="AV240" s="1259"/>
      <c r="AW240" s="1259"/>
      <c r="AX240" s="1259"/>
      <c r="AY240" s="1259"/>
      <c r="AZ240" s="1259"/>
      <c r="BA240" s="1259"/>
      <c r="BB240" s="1259"/>
      <c r="BC240" s="1259"/>
      <c r="BD240" s="1260"/>
      <c r="BE240" s="1215"/>
    </row>
    <row r="241" spans="1:57" ht="15.75" customHeight="1" thickBot="1">
      <c r="A241" s="1208"/>
      <c r="B241" s="1258"/>
      <c r="C241" s="1259"/>
      <c r="D241" s="1259"/>
      <c r="E241" s="1259"/>
      <c r="F241" s="1259"/>
      <c r="G241" s="1259"/>
      <c r="H241" s="1259"/>
      <c r="I241" s="1259"/>
      <c r="J241" s="1259"/>
      <c r="K241" s="1259"/>
      <c r="L241" s="1259"/>
      <c r="M241" s="1259"/>
      <c r="N241" s="1259"/>
      <c r="O241" s="1259"/>
      <c r="P241" s="1259"/>
      <c r="Q241" s="1259"/>
      <c r="R241" s="1259"/>
      <c r="S241" s="1259"/>
      <c r="T241" s="1259"/>
      <c r="U241" s="1259"/>
      <c r="V241" s="1259"/>
      <c r="W241" s="1259"/>
      <c r="X241" s="1259"/>
      <c r="Y241" s="1259"/>
      <c r="Z241" s="1259"/>
      <c r="AA241" s="1259"/>
      <c r="AB241" s="1259"/>
      <c r="AC241" s="1259"/>
      <c r="AD241" s="1259"/>
      <c r="AE241" s="1259"/>
      <c r="AF241" s="1259"/>
      <c r="AG241" s="1259"/>
      <c r="AH241" s="1259"/>
      <c r="AI241" s="1259"/>
      <c r="AJ241" s="1259"/>
      <c r="AK241" s="1259"/>
      <c r="AL241" s="1259"/>
      <c r="AM241" s="1259"/>
      <c r="AN241" s="1259"/>
      <c r="AO241" s="1259"/>
      <c r="AP241" s="1259"/>
      <c r="AQ241" s="1259"/>
      <c r="AR241" s="1259"/>
      <c r="AS241" s="1259"/>
      <c r="AT241" s="1259"/>
      <c r="AU241" s="1259"/>
      <c r="AV241" s="1259"/>
      <c r="AW241" s="1259"/>
      <c r="AX241" s="1259"/>
      <c r="AY241" s="1259"/>
      <c r="AZ241" s="1259"/>
      <c r="BA241" s="1259"/>
      <c r="BB241" s="1259"/>
      <c r="BC241" s="1259"/>
      <c r="BD241" s="1260"/>
      <c r="BE241" s="1215"/>
    </row>
    <row r="242" spans="1:57" ht="15.75" customHeight="1" thickBot="1">
      <c r="A242" s="1208"/>
      <c r="B242" s="1258"/>
      <c r="C242" s="1259"/>
      <c r="D242" s="1259"/>
      <c r="E242" s="1259"/>
      <c r="F242" s="1259"/>
      <c r="G242" s="1259"/>
      <c r="H242" s="1886" t="s">
        <v>2222</v>
      </c>
      <c r="I242" s="1886"/>
      <c r="J242" s="1259"/>
      <c r="K242" s="1259"/>
      <c r="L242" s="1259"/>
      <c r="M242" s="1259"/>
      <c r="N242" s="1259"/>
      <c r="O242" s="1259"/>
      <c r="P242" s="1259"/>
      <c r="Q242" s="1259"/>
      <c r="R242" s="1259"/>
      <c r="S242" s="1887"/>
      <c r="T242" s="1888"/>
      <c r="U242" s="1888"/>
      <c r="V242" s="1888"/>
      <c r="W242" s="1888"/>
      <c r="X242" s="1888"/>
      <c r="Y242" s="1888"/>
      <c r="Z242" s="1888"/>
      <c r="AA242" s="1888"/>
      <c r="AB242" s="1888"/>
      <c r="AC242" s="1888"/>
      <c r="AD242" s="1888"/>
      <c r="AE242" s="1888"/>
      <c r="AF242" s="1888"/>
      <c r="AG242" s="1888"/>
      <c r="AH242" s="1888"/>
      <c r="AI242" s="1888"/>
      <c r="AJ242" s="1889"/>
      <c r="AK242" s="1259"/>
      <c r="AL242" s="1259"/>
      <c r="AM242" s="1259"/>
      <c r="AN242" s="1259"/>
      <c r="AO242" s="1259"/>
      <c r="AP242" s="1259"/>
      <c r="AQ242" s="1259"/>
      <c r="AR242" s="1259"/>
      <c r="AS242" s="1259"/>
      <c r="AT242" s="1259"/>
      <c r="AU242" s="1259"/>
      <c r="AV242" s="1259"/>
      <c r="AW242" s="1259"/>
      <c r="AX242" s="1259"/>
      <c r="AY242" s="1259"/>
      <c r="AZ242" s="1259"/>
      <c r="BA242" s="1259"/>
      <c r="BB242" s="1259"/>
      <c r="BC242" s="1259"/>
      <c r="BD242" s="1260"/>
      <c r="BE242" s="1215"/>
    </row>
    <row r="243" spans="1:57" ht="15.75" customHeight="1" thickBot="1">
      <c r="A243" s="1208"/>
      <c r="B243" s="1262"/>
      <c r="C243" s="1263"/>
      <c r="D243" s="1263"/>
      <c r="E243" s="1263"/>
      <c r="F243" s="1263"/>
      <c r="G243" s="1263"/>
      <c r="H243" s="1263"/>
      <c r="I243" s="1263"/>
      <c r="J243" s="1263"/>
      <c r="K243" s="1263"/>
      <c r="L243" s="1263"/>
      <c r="M243" s="1263"/>
      <c r="N243" s="1263"/>
      <c r="O243" s="1263"/>
      <c r="P243" s="1263"/>
      <c r="Q243" s="1263"/>
      <c r="R243" s="1263"/>
      <c r="S243" s="1263"/>
      <c r="T243" s="1263"/>
      <c r="U243" s="1263"/>
      <c r="V243" s="1263"/>
      <c r="W243" s="1263"/>
      <c r="X243" s="1263"/>
      <c r="Y243" s="1263"/>
      <c r="Z243" s="1263"/>
      <c r="AA243" s="1263"/>
      <c r="AB243" s="1263"/>
      <c r="AC243" s="1263"/>
      <c r="AD243" s="1263"/>
      <c r="AE243" s="1263"/>
      <c r="AF243" s="1263"/>
      <c r="AG243" s="1263"/>
      <c r="AH243" s="1263"/>
      <c r="AI243" s="1263"/>
      <c r="AJ243" s="1263"/>
      <c r="AK243" s="1263"/>
      <c r="AL243" s="1263"/>
      <c r="AM243" s="1263"/>
      <c r="AN243" s="1263"/>
      <c r="AO243" s="1263"/>
      <c r="AP243" s="1263"/>
      <c r="AQ243" s="1263"/>
      <c r="AR243" s="1263"/>
      <c r="AS243" s="1263"/>
      <c r="AT243" s="1263"/>
      <c r="AU243" s="1263"/>
      <c r="AV243" s="1263"/>
      <c r="AW243" s="1263"/>
      <c r="AX243" s="1263"/>
      <c r="AY243" s="1263"/>
      <c r="AZ243" s="1263"/>
      <c r="BA243" s="1263"/>
      <c r="BB243" s="1263"/>
      <c r="BC243" s="1263"/>
      <c r="BD243" s="1264"/>
      <c r="BE243" s="1215"/>
    </row>
    <row r="244" spans="1:57" ht="15.75" customHeight="1" thickBot="1">
      <c r="A244" s="1256"/>
      <c r="B244" s="1256"/>
      <c r="C244" s="1256"/>
      <c r="D244" s="1256"/>
      <c r="E244" s="1256"/>
      <c r="F244" s="1256"/>
      <c r="G244" s="1256"/>
      <c r="H244" s="1256"/>
      <c r="I244" s="1256"/>
      <c r="J244" s="1256"/>
      <c r="K244" s="1256"/>
      <c r="L244" s="1256"/>
      <c r="M244" s="1256"/>
      <c r="N244" s="1256"/>
      <c r="O244" s="1256"/>
      <c r="P244" s="1256"/>
      <c r="Q244" s="1256"/>
      <c r="R244" s="1256"/>
      <c r="S244" s="1256"/>
      <c r="T244" s="1256"/>
      <c r="U244" s="1256"/>
      <c r="V244" s="1256"/>
      <c r="W244" s="1256"/>
      <c r="X244" s="1256"/>
      <c r="Y244" s="1256"/>
      <c r="Z244" s="1256"/>
      <c r="AA244" s="1256"/>
      <c r="AB244" s="1256"/>
      <c r="AC244" s="1256"/>
      <c r="AD244" s="1256"/>
      <c r="AE244" s="1256"/>
      <c r="AF244" s="1256"/>
      <c r="AG244" s="1256"/>
      <c r="AH244" s="1256"/>
      <c r="AI244" s="1256"/>
      <c r="AJ244" s="1256"/>
      <c r="AK244" s="1256"/>
      <c r="AL244" s="1256"/>
      <c r="AM244" s="1256"/>
      <c r="AN244" s="1256"/>
      <c r="AO244" s="1256"/>
      <c r="AP244" s="1256"/>
      <c r="AQ244" s="1256"/>
      <c r="AR244" s="1256"/>
      <c r="AS244" s="1256"/>
      <c r="AT244" s="1256"/>
      <c r="AU244" s="1256"/>
      <c r="AV244" s="1256"/>
      <c r="AW244" s="1256"/>
      <c r="AX244" s="1256"/>
      <c r="AY244" s="1256"/>
      <c r="AZ244" s="1256"/>
      <c r="BA244" s="1256"/>
      <c r="BB244" s="1256"/>
      <c r="BC244" s="1256"/>
      <c r="BD244" s="1256"/>
      <c r="BE244" s="1257"/>
    </row>
    <row r="247" spans="1:57" ht="15.75" customHeight="1">
      <c r="D247" s="1206"/>
    </row>
    <row r="248" spans="1:57" ht="15.75" customHeight="1">
      <c r="D248" s="1265"/>
    </row>
    <row r="249" spans="1:57" ht="15.75" customHeight="1">
      <c r="D249" s="1206"/>
    </row>
    <row r="250" spans="1:57" ht="15.75" customHeight="1">
      <c r="D250" s="1206"/>
    </row>
    <row r="251" spans="1:57" ht="15.75" customHeight="1">
      <c r="R251" s="1204" t="s">
        <v>250</v>
      </c>
    </row>
  </sheetData>
  <sheetProtection algorithmName="SHA-512" hashValue="E+0n5mg9dJ81zzSJy0isQxGG7sv/kD86yPWV2kPi5UuL1BVpkVD8m/gVHu26ihsOLCf8Cv9sg6v+iGspW8yQwg==" saltValue="qt66Cf14XO5qbe6jgdmgmg==" spinCount="100000" sheet="1" objects="1" scenarios="1"/>
  <mergeCells count="697">
    <mergeCell ref="AX5:BA5"/>
    <mergeCell ref="L6:AC6"/>
    <mergeCell ref="AF6:AO6"/>
    <mergeCell ref="AP6:AU6"/>
    <mergeCell ref="AX6:BA6"/>
    <mergeCell ref="A1:BE1"/>
    <mergeCell ref="A2:BE2"/>
    <mergeCell ref="AX3:BA3"/>
    <mergeCell ref="BB3:BE3"/>
    <mergeCell ref="L4:AC4"/>
    <mergeCell ref="AF4:AO4"/>
    <mergeCell ref="AP4:AU4"/>
    <mergeCell ref="AX4:BA4"/>
    <mergeCell ref="AF7:AO7"/>
    <mergeCell ref="AP7:AU7"/>
    <mergeCell ref="AB8:AD8"/>
    <mergeCell ref="AF8:AO8"/>
    <mergeCell ref="AP8:AU8"/>
    <mergeCell ref="AF9:AO9"/>
    <mergeCell ref="AP9:AU9"/>
    <mergeCell ref="AF5:AO5"/>
    <mergeCell ref="AP5:AU5"/>
    <mergeCell ref="B13:P13"/>
    <mergeCell ref="Q13:T13"/>
    <mergeCell ref="AA13:AN13"/>
    <mergeCell ref="AO13:AS13"/>
    <mergeCell ref="AA14:AN14"/>
    <mergeCell ref="AO14:AS14"/>
    <mergeCell ref="N10:T10"/>
    <mergeCell ref="AF10:AO10"/>
    <mergeCell ref="AP10:AU10"/>
    <mergeCell ref="N11:T11"/>
    <mergeCell ref="AF11:AO11"/>
    <mergeCell ref="AP11:AU11"/>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50:AO50"/>
    <mergeCell ref="B51:I51"/>
    <mergeCell ref="J51:Q51"/>
    <mergeCell ref="R51:Y51"/>
    <mergeCell ref="Z51:AG51"/>
    <mergeCell ref="AH51:AO51"/>
    <mergeCell ref="Z47:AC47"/>
    <mergeCell ref="AD47:AG47"/>
    <mergeCell ref="AH47:AK47"/>
    <mergeCell ref="AL47:AO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2:N72"/>
    <mergeCell ref="O72:AA72"/>
    <mergeCell ref="AC72:BC72"/>
    <mergeCell ref="B73:N73"/>
    <mergeCell ref="O73:AA73"/>
    <mergeCell ref="AC73:BC77"/>
    <mergeCell ref="B74:N74"/>
    <mergeCell ref="O74:AA74"/>
    <mergeCell ref="B75:N75"/>
    <mergeCell ref="O75:AA75"/>
    <mergeCell ref="F79:T79"/>
    <mergeCell ref="B81:AH81"/>
    <mergeCell ref="AJ81:AX84"/>
    <mergeCell ref="AY81:BB84"/>
    <mergeCell ref="B82:H83"/>
    <mergeCell ref="I82:N83"/>
    <mergeCell ref="O82:U83"/>
    <mergeCell ref="V82:AA83"/>
    <mergeCell ref="AB82:AH83"/>
    <mergeCell ref="B84:H84"/>
    <mergeCell ref="AJ85:BB86"/>
    <mergeCell ref="B86:H86"/>
    <mergeCell ref="I86:N86"/>
    <mergeCell ref="O86:U86"/>
    <mergeCell ref="V86:AA86"/>
    <mergeCell ref="AB86:AH86"/>
    <mergeCell ref="I84:N84"/>
    <mergeCell ref="O84:U84"/>
    <mergeCell ref="V84:AA84"/>
    <mergeCell ref="AB84:AH84"/>
    <mergeCell ref="B85:H85"/>
    <mergeCell ref="I85:N85"/>
    <mergeCell ref="O85:U85"/>
    <mergeCell ref="V85:AA85"/>
    <mergeCell ref="AB85:AH85"/>
    <mergeCell ref="F90:T90"/>
    <mergeCell ref="B92:AH92"/>
    <mergeCell ref="AJ92:AX95"/>
    <mergeCell ref="AY92:BB95"/>
    <mergeCell ref="B93:H94"/>
    <mergeCell ref="I93:N94"/>
    <mergeCell ref="O93:U94"/>
    <mergeCell ref="V93:AA94"/>
    <mergeCell ref="AB93:AH94"/>
    <mergeCell ref="B95:H95"/>
    <mergeCell ref="I95:N95"/>
    <mergeCell ref="O95:U95"/>
    <mergeCell ref="V95:AA95"/>
    <mergeCell ref="AB95:AH95"/>
    <mergeCell ref="AJ96:BB97"/>
    <mergeCell ref="B97:H97"/>
    <mergeCell ref="I97:N97"/>
    <mergeCell ref="O97:U97"/>
    <mergeCell ref="V97:AA97"/>
    <mergeCell ref="AB97:AH97"/>
    <mergeCell ref="B105:H105"/>
    <mergeCell ref="I105:N105"/>
    <mergeCell ref="O105:U105"/>
    <mergeCell ref="V105:AA105"/>
    <mergeCell ref="AB105:AH105"/>
    <mergeCell ref="B96:H96"/>
    <mergeCell ref="I96:N96"/>
    <mergeCell ref="O96:U96"/>
    <mergeCell ref="V96:AA96"/>
    <mergeCell ref="AB96:AH96"/>
    <mergeCell ref="F100:R100"/>
    <mergeCell ref="B102:AH102"/>
    <mergeCell ref="B103:H104"/>
    <mergeCell ref="I103:N104"/>
    <mergeCell ref="O103:U104"/>
    <mergeCell ref="V103:AA104"/>
    <mergeCell ref="AB103:AH104"/>
    <mergeCell ref="B128:U128"/>
    <mergeCell ref="B106:H106"/>
    <mergeCell ref="I106:N106"/>
    <mergeCell ref="O106:U106"/>
    <mergeCell ref="V106:AA106"/>
    <mergeCell ref="AB106:AH106"/>
    <mergeCell ref="B112:T115"/>
    <mergeCell ref="U112:X115"/>
    <mergeCell ref="B116:T117"/>
    <mergeCell ref="U116:X117"/>
    <mergeCell ref="B123:H123"/>
    <mergeCell ref="I123:N123"/>
    <mergeCell ref="O123:U123"/>
    <mergeCell ref="B124:H124"/>
    <mergeCell ref="I124:N124"/>
    <mergeCell ref="O124:U124"/>
    <mergeCell ref="X120:BD121"/>
    <mergeCell ref="B121:U121"/>
    <mergeCell ref="B107:H107"/>
    <mergeCell ref="I107:N107"/>
    <mergeCell ref="O107:U107"/>
    <mergeCell ref="V107:AA107"/>
    <mergeCell ref="AB107:AH107"/>
    <mergeCell ref="F110:R110"/>
    <mergeCell ref="B136:AG136"/>
    <mergeCell ref="AH136:AX136"/>
    <mergeCell ref="B137:Q137"/>
    <mergeCell ref="R137:AX137"/>
    <mergeCell ref="B138:AX147"/>
    <mergeCell ref="B151:U151"/>
    <mergeCell ref="X151:AQ151"/>
    <mergeCell ref="B132:H132"/>
    <mergeCell ref="I132:O132"/>
    <mergeCell ref="P132:U132"/>
    <mergeCell ref="B134:AG134"/>
    <mergeCell ref="AH134:AX134"/>
    <mergeCell ref="B135:AG135"/>
    <mergeCell ref="AH135:AX135"/>
    <mergeCell ref="X122:BD132"/>
    <mergeCell ref="B129:H130"/>
    <mergeCell ref="I129:O130"/>
    <mergeCell ref="P129:U130"/>
    <mergeCell ref="B131:H131"/>
    <mergeCell ref="I131:O131"/>
    <mergeCell ref="P131:U131"/>
    <mergeCell ref="B122:H122"/>
    <mergeCell ref="I122:N122"/>
    <mergeCell ref="O122:U122"/>
    <mergeCell ref="B154:H154"/>
    <mergeCell ref="I154:O154"/>
    <mergeCell ref="P154:U154"/>
    <mergeCell ref="X154:AD154"/>
    <mergeCell ref="AE154:AK154"/>
    <mergeCell ref="AL154:AQ154"/>
    <mergeCell ref="B152:H153"/>
    <mergeCell ref="I152:O153"/>
    <mergeCell ref="P152:U153"/>
    <mergeCell ref="X152:AD153"/>
    <mergeCell ref="AE152:AK153"/>
    <mergeCell ref="AL152:AQ153"/>
    <mergeCell ref="C159:P159"/>
    <mergeCell ref="Q159:S159"/>
    <mergeCell ref="T159:AA159"/>
    <mergeCell ref="C160:P160"/>
    <mergeCell ref="Q160:S160"/>
    <mergeCell ref="T160:AA160"/>
    <mergeCell ref="B155:H155"/>
    <mergeCell ref="I155:O155"/>
    <mergeCell ref="P155:U155"/>
    <mergeCell ref="C157:AG157"/>
    <mergeCell ref="C158:P158"/>
    <mergeCell ref="Q158:S158"/>
    <mergeCell ref="T158:AA158"/>
    <mergeCell ref="AB158:AG158"/>
    <mergeCell ref="AB162:AG162"/>
    <mergeCell ref="C163:E163"/>
    <mergeCell ref="F163:P163"/>
    <mergeCell ref="Q163:S163"/>
    <mergeCell ref="T163:AA163"/>
    <mergeCell ref="AB163:AG163"/>
    <mergeCell ref="C161:P161"/>
    <mergeCell ref="Q161:S161"/>
    <mergeCell ref="T161:AA161"/>
    <mergeCell ref="C162:P162"/>
    <mergeCell ref="Q162:S162"/>
    <mergeCell ref="T162:AA162"/>
    <mergeCell ref="C164:E164"/>
    <mergeCell ref="F164:P164"/>
    <mergeCell ref="Q164:S164"/>
    <mergeCell ref="T164:AA164"/>
    <mergeCell ref="AB164:AG164"/>
    <mergeCell ref="C165:E165"/>
    <mergeCell ref="F165:P165"/>
    <mergeCell ref="Q165:S165"/>
    <mergeCell ref="T165:AA165"/>
    <mergeCell ref="AB165:AG165"/>
    <mergeCell ref="C167:N167"/>
    <mergeCell ref="P167:AO167"/>
    <mergeCell ref="C168:H168"/>
    <mergeCell ref="I168:N168"/>
    <mergeCell ref="P168:AO175"/>
    <mergeCell ref="C169:H169"/>
    <mergeCell ref="I169:N169"/>
    <mergeCell ref="C170:H170"/>
    <mergeCell ref="I170:N170"/>
    <mergeCell ref="C171:H171"/>
    <mergeCell ref="I171:N171"/>
    <mergeCell ref="C172:H172"/>
    <mergeCell ref="I172:N172"/>
    <mergeCell ref="C173:H173"/>
    <mergeCell ref="I173:N173"/>
    <mergeCell ref="C174:H174"/>
    <mergeCell ref="I174:N174"/>
    <mergeCell ref="C175:H175"/>
    <mergeCell ref="I175:N175"/>
    <mergeCell ref="C181:M181"/>
    <mergeCell ref="N181:T181"/>
    <mergeCell ref="C177:AE178"/>
    <mergeCell ref="C186:M186"/>
    <mergeCell ref="N186:T186"/>
    <mergeCell ref="U186:AE186"/>
    <mergeCell ref="AH186:AT186"/>
    <mergeCell ref="AU186:BB186"/>
    <mergeCell ref="AH177:BE183"/>
    <mergeCell ref="C179:M179"/>
    <mergeCell ref="N179:T179"/>
    <mergeCell ref="U179:AE179"/>
    <mergeCell ref="C180:M180"/>
    <mergeCell ref="N180:T180"/>
    <mergeCell ref="U180:AE180"/>
    <mergeCell ref="C182:M182"/>
    <mergeCell ref="N182:T182"/>
    <mergeCell ref="U182:AE182"/>
    <mergeCell ref="C183:M183"/>
    <mergeCell ref="N183:T183"/>
    <mergeCell ref="U183:AE183"/>
    <mergeCell ref="BC186:BE186"/>
    <mergeCell ref="C184:M184"/>
    <mergeCell ref="N184:T184"/>
    <mergeCell ref="U184:AE184"/>
    <mergeCell ref="AH184:BE184"/>
    <mergeCell ref="C185:M185"/>
    <mergeCell ref="N185:T185"/>
    <mergeCell ref="U185:AE185"/>
    <mergeCell ref="AH185:AT185"/>
    <mergeCell ref="AU185:BB185"/>
    <mergeCell ref="BC185:BE185"/>
    <mergeCell ref="BC187:BE187"/>
    <mergeCell ref="C188:D188"/>
    <mergeCell ref="E188:M188"/>
    <mergeCell ref="N188:T188"/>
    <mergeCell ref="U188:AE188"/>
    <mergeCell ref="BC188:BE188"/>
    <mergeCell ref="C187:D187"/>
    <mergeCell ref="E187:M187"/>
    <mergeCell ref="N187:T187"/>
    <mergeCell ref="U187:AE187"/>
    <mergeCell ref="AH187:AT187"/>
    <mergeCell ref="AU187:BB187"/>
    <mergeCell ref="C190:M190"/>
    <mergeCell ref="N190:T190"/>
    <mergeCell ref="AH190:BE191"/>
    <mergeCell ref="C191:M191"/>
    <mergeCell ref="N191:T191"/>
    <mergeCell ref="AH192:AR192"/>
    <mergeCell ref="AS192:AX192"/>
    <mergeCell ref="AY192:BD192"/>
    <mergeCell ref="C189:D189"/>
    <mergeCell ref="E189:M189"/>
    <mergeCell ref="N189:T189"/>
    <mergeCell ref="U189:AE189"/>
    <mergeCell ref="AH189:AT189"/>
    <mergeCell ref="AU189:BB189"/>
    <mergeCell ref="C197:N197"/>
    <mergeCell ref="O197:W197"/>
    <mergeCell ref="X197:AE197"/>
    <mergeCell ref="C198:N198"/>
    <mergeCell ref="O198:W198"/>
    <mergeCell ref="X198:AE198"/>
    <mergeCell ref="C194:AE194"/>
    <mergeCell ref="C195:N195"/>
    <mergeCell ref="O195:W195"/>
    <mergeCell ref="X195:AE195"/>
    <mergeCell ref="C196:N196"/>
    <mergeCell ref="O196:W196"/>
    <mergeCell ref="X196:AE196"/>
    <mergeCell ref="C199:AE199"/>
    <mergeCell ref="C201:AK201"/>
    <mergeCell ref="C202:F203"/>
    <mergeCell ref="G202:O203"/>
    <mergeCell ref="P202:T203"/>
    <mergeCell ref="U202:X203"/>
    <mergeCell ref="Y202:AB203"/>
    <mergeCell ref="AC202:AF203"/>
    <mergeCell ref="AG202:AK203"/>
    <mergeCell ref="AG204:AK204"/>
    <mergeCell ref="C205:F205"/>
    <mergeCell ref="G205:O205"/>
    <mergeCell ref="P205:T205"/>
    <mergeCell ref="U205:X205"/>
    <mergeCell ref="Y205:AB205"/>
    <mergeCell ref="AC205:AF205"/>
    <mergeCell ref="AG205:AK205"/>
    <mergeCell ref="C204:F204"/>
    <mergeCell ref="G204:O204"/>
    <mergeCell ref="P204:T204"/>
    <mergeCell ref="U204:X204"/>
    <mergeCell ref="Y204:AB204"/>
    <mergeCell ref="AC204:AF204"/>
    <mergeCell ref="AG206:AK206"/>
    <mergeCell ref="C207:F207"/>
    <mergeCell ref="G207:O207"/>
    <mergeCell ref="P207:T207"/>
    <mergeCell ref="U207:X207"/>
    <mergeCell ref="Y207:AB207"/>
    <mergeCell ref="AC207:AF207"/>
    <mergeCell ref="AG207:AK207"/>
    <mergeCell ref="C206:F206"/>
    <mergeCell ref="G206:O206"/>
    <mergeCell ref="P206:T206"/>
    <mergeCell ref="U206:X206"/>
    <mergeCell ref="Y206:AB206"/>
    <mergeCell ref="AC206:AF206"/>
    <mergeCell ref="AG208:AK208"/>
    <mergeCell ref="C209:F209"/>
    <mergeCell ref="G209:O209"/>
    <mergeCell ref="P209:T209"/>
    <mergeCell ref="U209:X209"/>
    <mergeCell ref="Y209:AB209"/>
    <mergeCell ref="AC209:AF209"/>
    <mergeCell ref="AG209:AK209"/>
    <mergeCell ref="C208:F208"/>
    <mergeCell ref="G208:O208"/>
    <mergeCell ref="P208:T208"/>
    <mergeCell ref="U208:X208"/>
    <mergeCell ref="Y208:AB208"/>
    <mergeCell ref="AC208:AF208"/>
    <mergeCell ref="B216:BD216"/>
    <mergeCell ref="B217:BD217"/>
    <mergeCell ref="B218:BD218"/>
    <mergeCell ref="B219:BD219"/>
    <mergeCell ref="B221:BD221"/>
    <mergeCell ref="H225:AY225"/>
    <mergeCell ref="AG210:AK210"/>
    <mergeCell ref="C211:O211"/>
    <mergeCell ref="P211:T211"/>
    <mergeCell ref="U211:X211"/>
    <mergeCell ref="Y211:AB211"/>
    <mergeCell ref="AC211:AF211"/>
    <mergeCell ref="AG211:AK211"/>
    <mergeCell ref="C210:F210"/>
    <mergeCell ref="G210:O210"/>
    <mergeCell ref="P210:T210"/>
    <mergeCell ref="U210:X210"/>
    <mergeCell ref="Y210:AB210"/>
    <mergeCell ref="AC210:AF210"/>
    <mergeCell ref="H238:I238"/>
    <mergeCell ref="S238:AJ238"/>
    <mergeCell ref="H240:O240"/>
    <mergeCell ref="S240:AJ240"/>
    <mergeCell ref="H242:I242"/>
    <mergeCell ref="S242:AJ242"/>
    <mergeCell ref="H227:AZ230"/>
    <mergeCell ref="H232:AV232"/>
    <mergeCell ref="H234:K234"/>
    <mergeCell ref="S234:AJ234"/>
    <mergeCell ref="H236:J236"/>
    <mergeCell ref="S236:AJ236"/>
  </mergeCells>
  <dataValidations count="5">
    <dataValidation type="list" showDropDown="1" showInputMessage="1" showErrorMessage="1" sqref="F110:R110" xr:uid="{AE23F6DD-8117-4CE2-83A6-66151DDE815F}">
      <formula1>$BQ$97:$BQ$98</formula1>
    </dataValidation>
    <dataValidation type="list" allowBlank="1" showInputMessage="1" showErrorMessage="1" sqref="Q13:T13" xr:uid="{92C73921-024A-4C6F-A219-A84F35C5D814}">
      <formula1>$BM$69:$BM$70</formula1>
    </dataValidation>
    <dataValidation type="list" allowBlank="1" showInputMessage="1" showErrorMessage="1" sqref="AV68:BC69 AY92:BB95 U112:X115 AY81:BB84 AH134:AX134 AH136:AX136" xr:uid="{AF0AC637-A620-49C0-85AA-15899F9761EE}">
      <formula1>$BM$69:$BM$71</formula1>
    </dataValidation>
    <dataValidation type="list" allowBlank="1" showInputMessage="1" showErrorMessage="1" sqref="BM68:BM70" xr:uid="{0AA7D14A-5DD5-412F-93E7-21147DB5C665}">
      <formula1>$BM$68:$BM$70</formula1>
    </dataValidation>
    <dataValidation type="list" allowBlank="1" showInputMessage="1" showErrorMessage="1" sqref="AP8:AU8" xr:uid="{161C697E-AB37-4156-85E1-37E69FD9F524}">
      <formula1>$BM$9:$BM$13</formula1>
    </dataValidation>
  </dataValidations>
  <pageMargins left="0.7" right="0.7" top="0.75" bottom="0.75" header="0.3" footer="0.3"/>
  <pageSetup paperSize="5" scale="46"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40" workbookViewId="0">
      <selection activeCell="AB72" sqref="AB72:AF72"/>
    </sheetView>
  </sheetViews>
  <sheetFormatPr defaultColWidth="0" defaultRowHeight="12.95" customHeight="1" zeroHeight="1"/>
  <cols>
    <col min="1" max="1" width="1.5703125" style="402" customWidth="1"/>
    <col min="2" max="2" width="0.85546875" style="402" customWidth="1"/>
    <col min="3" max="18" width="2.5703125" style="402" customWidth="1"/>
    <col min="19" max="19" width="6.28515625" style="402" customWidth="1"/>
    <col min="20" max="39" width="2.7109375" style="402" customWidth="1"/>
    <col min="40" max="40" width="1.5703125" style="402" customWidth="1"/>
    <col min="41" max="256" width="2.5703125" style="402" hidden="1"/>
    <col min="257" max="257" width="1.5703125" style="402" hidden="1" customWidth="1"/>
    <col min="258" max="258" width="0.85546875" style="402" hidden="1" customWidth="1"/>
    <col min="259" max="274" width="2.5703125" style="402" hidden="1" customWidth="1"/>
    <col min="275" max="275" width="4" style="402" hidden="1" customWidth="1"/>
    <col min="276" max="279" width="2.5703125" style="402" hidden="1" customWidth="1"/>
    <col min="280" max="280" width="2.42578125" style="402" hidden="1" customWidth="1"/>
    <col min="281" max="284" width="2.5703125" style="402" hidden="1" customWidth="1"/>
    <col min="285" max="285" width="2.42578125" style="402" hidden="1" customWidth="1"/>
    <col min="286" max="289" width="2.5703125" style="402" hidden="1" customWidth="1"/>
    <col min="290" max="295" width="2.42578125" style="402" hidden="1" customWidth="1"/>
    <col min="296" max="296" width="1.5703125" style="402" hidden="1" customWidth="1"/>
    <col min="297" max="512" width="2.5703125" style="402" hidden="1"/>
    <col min="513" max="513" width="1.5703125" style="402" hidden="1" customWidth="1"/>
    <col min="514" max="514" width="0.85546875" style="402" hidden="1" customWidth="1"/>
    <col min="515" max="530" width="2.5703125" style="402" hidden="1" customWidth="1"/>
    <col min="531" max="531" width="4" style="402" hidden="1" customWidth="1"/>
    <col min="532" max="535" width="2.5703125" style="402" hidden="1" customWidth="1"/>
    <col min="536" max="536" width="2.42578125" style="402" hidden="1" customWidth="1"/>
    <col min="537" max="540" width="2.5703125" style="402" hidden="1" customWidth="1"/>
    <col min="541" max="541" width="2.42578125" style="402" hidden="1" customWidth="1"/>
    <col min="542" max="545" width="2.5703125" style="402" hidden="1" customWidth="1"/>
    <col min="546" max="551" width="2.42578125" style="402" hidden="1" customWidth="1"/>
    <col min="552" max="552" width="1.5703125" style="402" hidden="1" customWidth="1"/>
    <col min="553" max="768" width="2.5703125" style="402" hidden="1"/>
    <col min="769" max="769" width="1.5703125" style="402" hidden="1" customWidth="1"/>
    <col min="770" max="770" width="0.85546875" style="402" hidden="1" customWidth="1"/>
    <col min="771" max="786" width="2.5703125" style="402" hidden="1" customWidth="1"/>
    <col min="787" max="787" width="4" style="402" hidden="1" customWidth="1"/>
    <col min="788" max="791" width="2.5703125" style="402" hidden="1" customWidth="1"/>
    <col min="792" max="792" width="2.42578125" style="402" hidden="1" customWidth="1"/>
    <col min="793" max="796" width="2.5703125" style="402" hidden="1" customWidth="1"/>
    <col min="797" max="797" width="2.42578125" style="402" hidden="1" customWidth="1"/>
    <col min="798" max="801" width="2.5703125" style="402" hidden="1" customWidth="1"/>
    <col min="802" max="807" width="2.42578125" style="402" hidden="1" customWidth="1"/>
    <col min="808" max="808" width="1.5703125" style="402" hidden="1" customWidth="1"/>
    <col min="809" max="1024" width="2.5703125" style="402" hidden="1"/>
    <col min="1025" max="1025" width="1.5703125" style="402" hidden="1" customWidth="1"/>
    <col min="1026" max="1026" width="0.85546875" style="402" hidden="1" customWidth="1"/>
    <col min="1027" max="1042" width="2.5703125" style="402" hidden="1" customWidth="1"/>
    <col min="1043" max="1043" width="4" style="402" hidden="1" customWidth="1"/>
    <col min="1044" max="1047" width="2.5703125" style="402" hidden="1" customWidth="1"/>
    <col min="1048" max="1048" width="2.42578125" style="402" hidden="1" customWidth="1"/>
    <col min="1049" max="1052" width="2.5703125" style="402" hidden="1" customWidth="1"/>
    <col min="1053" max="1053" width="2.42578125" style="402" hidden="1" customWidth="1"/>
    <col min="1054" max="1057" width="2.5703125" style="402" hidden="1" customWidth="1"/>
    <col min="1058" max="1063" width="2.42578125" style="402" hidden="1" customWidth="1"/>
    <col min="1064" max="1064" width="1.5703125" style="402" hidden="1" customWidth="1"/>
    <col min="1065" max="1280" width="2.5703125" style="402" hidden="1"/>
    <col min="1281" max="1281" width="1.5703125" style="402" hidden="1" customWidth="1"/>
    <col min="1282" max="1282" width="0.85546875" style="402" hidden="1" customWidth="1"/>
    <col min="1283" max="1298" width="2.5703125" style="402" hidden="1" customWidth="1"/>
    <col min="1299" max="1299" width="4" style="402" hidden="1" customWidth="1"/>
    <col min="1300" max="1303" width="2.5703125" style="402" hidden="1" customWidth="1"/>
    <col min="1304" max="1304" width="2.42578125" style="402" hidden="1" customWidth="1"/>
    <col min="1305" max="1308" width="2.5703125" style="402" hidden="1" customWidth="1"/>
    <col min="1309" max="1309" width="2.42578125" style="402" hidden="1" customWidth="1"/>
    <col min="1310" max="1313" width="2.5703125" style="402" hidden="1" customWidth="1"/>
    <col min="1314" max="1319" width="2.42578125" style="402" hidden="1" customWidth="1"/>
    <col min="1320" max="1320" width="1.5703125" style="402" hidden="1" customWidth="1"/>
    <col min="1321" max="1536" width="2.5703125" style="402" hidden="1"/>
    <col min="1537" max="1537" width="1.5703125" style="402" hidden="1" customWidth="1"/>
    <col min="1538" max="1538" width="0.85546875" style="402" hidden="1" customWidth="1"/>
    <col min="1539" max="1554" width="2.5703125" style="402" hidden="1" customWidth="1"/>
    <col min="1555" max="1555" width="4" style="402" hidden="1" customWidth="1"/>
    <col min="1556" max="1559" width="2.5703125" style="402" hidden="1" customWidth="1"/>
    <col min="1560" max="1560" width="2.42578125" style="402" hidden="1" customWidth="1"/>
    <col min="1561" max="1564" width="2.5703125" style="402" hidden="1" customWidth="1"/>
    <col min="1565" max="1565" width="2.42578125" style="402" hidden="1" customWidth="1"/>
    <col min="1566" max="1569" width="2.5703125" style="402" hidden="1" customWidth="1"/>
    <col min="1570" max="1575" width="2.42578125" style="402" hidden="1" customWidth="1"/>
    <col min="1576" max="1576" width="1.5703125" style="402" hidden="1" customWidth="1"/>
    <col min="1577" max="1792" width="2.5703125" style="402" hidden="1"/>
    <col min="1793" max="1793" width="1.5703125" style="402" hidden="1" customWidth="1"/>
    <col min="1794" max="1794" width="0.85546875" style="402" hidden="1" customWidth="1"/>
    <col min="1795" max="1810" width="2.5703125" style="402" hidden="1" customWidth="1"/>
    <col min="1811" max="1811" width="4" style="402" hidden="1" customWidth="1"/>
    <col min="1812" max="1815" width="2.5703125" style="402" hidden="1" customWidth="1"/>
    <col min="1816" max="1816" width="2.42578125" style="402" hidden="1" customWidth="1"/>
    <col min="1817" max="1820" width="2.5703125" style="402" hidden="1" customWidth="1"/>
    <col min="1821" max="1821" width="2.42578125" style="402" hidden="1" customWidth="1"/>
    <col min="1822" max="1825" width="2.5703125" style="402" hidden="1" customWidth="1"/>
    <col min="1826" max="1831" width="2.42578125" style="402" hidden="1" customWidth="1"/>
    <col min="1832" max="1832" width="1.5703125" style="402" hidden="1" customWidth="1"/>
    <col min="1833" max="2048" width="2.5703125" style="402" hidden="1"/>
    <col min="2049" max="2049" width="1.5703125" style="402" hidden="1" customWidth="1"/>
    <col min="2050" max="2050" width="0.85546875" style="402" hidden="1" customWidth="1"/>
    <col min="2051" max="2066" width="2.5703125" style="402" hidden="1" customWidth="1"/>
    <col min="2067" max="2067" width="4" style="402" hidden="1" customWidth="1"/>
    <col min="2068" max="2071" width="2.5703125" style="402" hidden="1" customWidth="1"/>
    <col min="2072" max="2072" width="2.42578125" style="402" hidden="1" customWidth="1"/>
    <col min="2073" max="2076" width="2.5703125" style="402" hidden="1" customWidth="1"/>
    <col min="2077" max="2077" width="2.42578125" style="402" hidden="1" customWidth="1"/>
    <col min="2078" max="2081" width="2.5703125" style="402" hidden="1" customWidth="1"/>
    <col min="2082" max="2087" width="2.42578125" style="402" hidden="1" customWidth="1"/>
    <col min="2088" max="2088" width="1.5703125" style="402" hidden="1" customWidth="1"/>
    <col min="2089" max="2304" width="2.5703125" style="402" hidden="1"/>
    <col min="2305" max="2305" width="1.5703125" style="402" hidden="1" customWidth="1"/>
    <col min="2306" max="2306" width="0.85546875" style="402" hidden="1" customWidth="1"/>
    <col min="2307" max="2322" width="2.5703125" style="402" hidden="1" customWidth="1"/>
    <col min="2323" max="2323" width="4" style="402" hidden="1" customWidth="1"/>
    <col min="2324" max="2327" width="2.5703125" style="402" hidden="1" customWidth="1"/>
    <col min="2328" max="2328" width="2.42578125" style="402" hidden="1" customWidth="1"/>
    <col min="2329" max="2332" width="2.5703125" style="402" hidden="1" customWidth="1"/>
    <col min="2333" max="2333" width="2.42578125" style="402" hidden="1" customWidth="1"/>
    <col min="2334" max="2337" width="2.5703125" style="402" hidden="1" customWidth="1"/>
    <col min="2338" max="2343" width="2.42578125" style="402" hidden="1" customWidth="1"/>
    <col min="2344" max="2344" width="1.5703125" style="402" hidden="1" customWidth="1"/>
    <col min="2345" max="2560" width="2.5703125" style="402" hidden="1"/>
    <col min="2561" max="2561" width="1.5703125" style="402" hidden="1" customWidth="1"/>
    <col min="2562" max="2562" width="0.85546875" style="402" hidden="1" customWidth="1"/>
    <col min="2563" max="2578" width="2.5703125" style="402" hidden="1" customWidth="1"/>
    <col min="2579" max="2579" width="4" style="402" hidden="1" customWidth="1"/>
    <col min="2580" max="2583" width="2.5703125" style="402" hidden="1" customWidth="1"/>
    <col min="2584" max="2584" width="2.42578125" style="402" hidden="1" customWidth="1"/>
    <col min="2585" max="2588" width="2.5703125" style="402" hidden="1" customWidth="1"/>
    <col min="2589" max="2589" width="2.42578125" style="402" hidden="1" customWidth="1"/>
    <col min="2590" max="2593" width="2.5703125" style="402" hidden="1" customWidth="1"/>
    <col min="2594" max="2599" width="2.42578125" style="402" hidden="1" customWidth="1"/>
    <col min="2600" max="2600" width="1.5703125" style="402" hidden="1" customWidth="1"/>
    <col min="2601" max="2816" width="2.5703125" style="402" hidden="1"/>
    <col min="2817" max="2817" width="1.5703125" style="402" hidden="1" customWidth="1"/>
    <col min="2818" max="2818" width="0.85546875" style="402" hidden="1" customWidth="1"/>
    <col min="2819" max="2834" width="2.5703125" style="402" hidden="1" customWidth="1"/>
    <col min="2835" max="2835" width="4" style="402" hidden="1" customWidth="1"/>
    <col min="2836" max="2839" width="2.5703125" style="402" hidden="1" customWidth="1"/>
    <col min="2840" max="2840" width="2.42578125" style="402" hidden="1" customWidth="1"/>
    <col min="2841" max="2844" width="2.5703125" style="402" hidden="1" customWidth="1"/>
    <col min="2845" max="2845" width="2.42578125" style="402" hidden="1" customWidth="1"/>
    <col min="2846" max="2849" width="2.5703125" style="402" hidden="1" customWidth="1"/>
    <col min="2850" max="2855" width="2.42578125" style="402" hidden="1" customWidth="1"/>
    <col min="2856" max="2856" width="1.5703125" style="402" hidden="1" customWidth="1"/>
    <col min="2857" max="3072" width="2.5703125" style="402" hidden="1"/>
    <col min="3073" max="3073" width="1.5703125" style="402" hidden="1" customWidth="1"/>
    <col min="3074" max="3074" width="0.85546875" style="402" hidden="1" customWidth="1"/>
    <col min="3075" max="3090" width="2.5703125" style="402" hidden="1" customWidth="1"/>
    <col min="3091" max="3091" width="4" style="402" hidden="1" customWidth="1"/>
    <col min="3092" max="3095" width="2.5703125" style="402" hidden="1" customWidth="1"/>
    <col min="3096" max="3096" width="2.42578125" style="402" hidden="1" customWidth="1"/>
    <col min="3097" max="3100" width="2.5703125" style="402" hidden="1" customWidth="1"/>
    <col min="3101" max="3101" width="2.42578125" style="402" hidden="1" customWidth="1"/>
    <col min="3102" max="3105" width="2.5703125" style="402" hidden="1" customWidth="1"/>
    <col min="3106" max="3111" width="2.42578125" style="402" hidden="1" customWidth="1"/>
    <col min="3112" max="3112" width="1.5703125" style="402" hidden="1" customWidth="1"/>
    <col min="3113" max="3328" width="2.5703125" style="402" hidden="1"/>
    <col min="3329" max="3329" width="1.5703125" style="402" hidden="1" customWidth="1"/>
    <col min="3330" max="3330" width="0.85546875" style="402" hidden="1" customWidth="1"/>
    <col min="3331" max="3346" width="2.5703125" style="402" hidden="1" customWidth="1"/>
    <col min="3347" max="3347" width="4" style="402" hidden="1" customWidth="1"/>
    <col min="3348" max="3351" width="2.5703125" style="402" hidden="1" customWidth="1"/>
    <col min="3352" max="3352" width="2.42578125" style="402" hidden="1" customWidth="1"/>
    <col min="3353" max="3356" width="2.5703125" style="402" hidden="1" customWidth="1"/>
    <col min="3357" max="3357" width="2.42578125" style="402" hidden="1" customWidth="1"/>
    <col min="3358" max="3361" width="2.5703125" style="402" hidden="1" customWidth="1"/>
    <col min="3362" max="3367" width="2.42578125" style="402" hidden="1" customWidth="1"/>
    <col min="3368" max="3368" width="1.5703125" style="402" hidden="1" customWidth="1"/>
    <col min="3369" max="3584" width="2.5703125" style="402" hidden="1"/>
    <col min="3585" max="3585" width="1.5703125" style="402" hidden="1" customWidth="1"/>
    <col min="3586" max="3586" width="0.85546875" style="402" hidden="1" customWidth="1"/>
    <col min="3587" max="3602" width="2.5703125" style="402" hidden="1" customWidth="1"/>
    <col min="3603" max="3603" width="4" style="402" hidden="1" customWidth="1"/>
    <col min="3604" max="3607" width="2.5703125" style="402" hidden="1" customWidth="1"/>
    <col min="3608" max="3608" width="2.42578125" style="402" hidden="1" customWidth="1"/>
    <col min="3609" max="3612" width="2.5703125" style="402" hidden="1" customWidth="1"/>
    <col min="3613" max="3613" width="2.42578125" style="402" hidden="1" customWidth="1"/>
    <col min="3614" max="3617" width="2.5703125" style="402" hidden="1" customWidth="1"/>
    <col min="3618" max="3623" width="2.42578125" style="402" hidden="1" customWidth="1"/>
    <col min="3624" max="3624" width="1.5703125" style="402" hidden="1" customWidth="1"/>
    <col min="3625" max="3840" width="2.5703125" style="402" hidden="1"/>
    <col min="3841" max="3841" width="1.5703125" style="402" hidden="1" customWidth="1"/>
    <col min="3842" max="3842" width="0.85546875" style="402" hidden="1" customWidth="1"/>
    <col min="3843" max="3858" width="2.5703125" style="402" hidden="1" customWidth="1"/>
    <col min="3859" max="3859" width="4" style="402" hidden="1" customWidth="1"/>
    <col min="3860" max="3863" width="2.5703125" style="402" hidden="1" customWidth="1"/>
    <col min="3864" max="3864" width="2.42578125" style="402" hidden="1" customWidth="1"/>
    <col min="3865" max="3868" width="2.5703125" style="402" hidden="1" customWidth="1"/>
    <col min="3869" max="3869" width="2.42578125" style="402" hidden="1" customWidth="1"/>
    <col min="3870" max="3873" width="2.5703125" style="402" hidden="1" customWidth="1"/>
    <col min="3874" max="3879" width="2.42578125" style="402" hidden="1" customWidth="1"/>
    <col min="3880" max="3880" width="1.5703125" style="402" hidden="1" customWidth="1"/>
    <col min="3881" max="4096" width="2.5703125" style="402" hidden="1"/>
    <col min="4097" max="4097" width="1.5703125" style="402" hidden="1" customWidth="1"/>
    <col min="4098" max="4098" width="0.85546875" style="402" hidden="1" customWidth="1"/>
    <col min="4099" max="4114" width="2.5703125" style="402" hidden="1" customWidth="1"/>
    <col min="4115" max="4115" width="4" style="402" hidden="1" customWidth="1"/>
    <col min="4116" max="4119" width="2.5703125" style="402" hidden="1" customWidth="1"/>
    <col min="4120" max="4120" width="2.42578125" style="402" hidden="1" customWidth="1"/>
    <col min="4121" max="4124" width="2.5703125" style="402" hidden="1" customWidth="1"/>
    <col min="4125" max="4125" width="2.42578125" style="402" hidden="1" customWidth="1"/>
    <col min="4126" max="4129" width="2.5703125" style="402" hidden="1" customWidth="1"/>
    <col min="4130" max="4135" width="2.42578125" style="402" hidden="1" customWidth="1"/>
    <col min="4136" max="4136" width="1.5703125" style="402" hidden="1" customWidth="1"/>
    <col min="4137" max="4352" width="2.5703125" style="402" hidden="1"/>
    <col min="4353" max="4353" width="1.5703125" style="402" hidden="1" customWidth="1"/>
    <col min="4354" max="4354" width="0.85546875" style="402" hidden="1" customWidth="1"/>
    <col min="4355" max="4370" width="2.5703125" style="402" hidden="1" customWidth="1"/>
    <col min="4371" max="4371" width="4" style="402" hidden="1" customWidth="1"/>
    <col min="4372" max="4375" width="2.5703125" style="402" hidden="1" customWidth="1"/>
    <col min="4376" max="4376" width="2.42578125" style="402" hidden="1" customWidth="1"/>
    <col min="4377" max="4380" width="2.5703125" style="402" hidden="1" customWidth="1"/>
    <col min="4381" max="4381" width="2.42578125" style="402" hidden="1" customWidth="1"/>
    <col min="4382" max="4385" width="2.5703125" style="402" hidden="1" customWidth="1"/>
    <col min="4386" max="4391" width="2.42578125" style="402" hidden="1" customWidth="1"/>
    <col min="4392" max="4392" width="1.5703125" style="402" hidden="1" customWidth="1"/>
    <col min="4393" max="4608" width="2.5703125" style="402" hidden="1"/>
    <col min="4609" max="4609" width="1.5703125" style="402" hidden="1" customWidth="1"/>
    <col min="4610" max="4610" width="0.85546875" style="402" hidden="1" customWidth="1"/>
    <col min="4611" max="4626" width="2.5703125" style="402" hidden="1" customWidth="1"/>
    <col min="4627" max="4627" width="4" style="402" hidden="1" customWidth="1"/>
    <col min="4628" max="4631" width="2.5703125" style="402" hidden="1" customWidth="1"/>
    <col min="4632" max="4632" width="2.42578125" style="402" hidden="1" customWidth="1"/>
    <col min="4633" max="4636" width="2.5703125" style="402" hidden="1" customWidth="1"/>
    <col min="4637" max="4637" width="2.42578125" style="402" hidden="1" customWidth="1"/>
    <col min="4638" max="4641" width="2.5703125" style="402" hidden="1" customWidth="1"/>
    <col min="4642" max="4647" width="2.42578125" style="402" hidden="1" customWidth="1"/>
    <col min="4648" max="4648" width="1.5703125" style="402" hidden="1" customWidth="1"/>
    <col min="4649" max="4864" width="2.5703125" style="402" hidden="1"/>
    <col min="4865" max="4865" width="1.5703125" style="402" hidden="1" customWidth="1"/>
    <col min="4866" max="4866" width="0.85546875" style="402" hidden="1" customWidth="1"/>
    <col min="4867" max="4882" width="2.5703125" style="402" hidden="1" customWidth="1"/>
    <col min="4883" max="4883" width="4" style="402" hidden="1" customWidth="1"/>
    <col min="4884" max="4887" width="2.5703125" style="402" hidden="1" customWidth="1"/>
    <col min="4888" max="4888" width="2.42578125" style="402" hidden="1" customWidth="1"/>
    <col min="4889" max="4892" width="2.5703125" style="402" hidden="1" customWidth="1"/>
    <col min="4893" max="4893" width="2.42578125" style="402" hidden="1" customWidth="1"/>
    <col min="4894" max="4897" width="2.5703125" style="402" hidden="1" customWidth="1"/>
    <col min="4898" max="4903" width="2.42578125" style="402" hidden="1" customWidth="1"/>
    <col min="4904" max="4904" width="1.5703125" style="402" hidden="1" customWidth="1"/>
    <col min="4905" max="5120" width="2.5703125" style="402" hidden="1"/>
    <col min="5121" max="5121" width="1.5703125" style="402" hidden="1" customWidth="1"/>
    <col min="5122" max="5122" width="0.85546875" style="402" hidden="1" customWidth="1"/>
    <col min="5123" max="5138" width="2.5703125" style="402" hidden="1" customWidth="1"/>
    <col min="5139" max="5139" width="4" style="402" hidden="1" customWidth="1"/>
    <col min="5140" max="5143" width="2.5703125" style="402" hidden="1" customWidth="1"/>
    <col min="5144" max="5144" width="2.42578125" style="402" hidden="1" customWidth="1"/>
    <col min="5145" max="5148" width="2.5703125" style="402" hidden="1" customWidth="1"/>
    <col min="5149" max="5149" width="2.42578125" style="402" hidden="1" customWidth="1"/>
    <col min="5150" max="5153" width="2.5703125" style="402" hidden="1" customWidth="1"/>
    <col min="5154" max="5159" width="2.42578125" style="402" hidden="1" customWidth="1"/>
    <col min="5160" max="5160" width="1.5703125" style="402" hidden="1" customWidth="1"/>
    <col min="5161" max="5376" width="2.5703125" style="402" hidden="1"/>
    <col min="5377" max="5377" width="1.5703125" style="402" hidden="1" customWidth="1"/>
    <col min="5378" max="5378" width="0.85546875" style="402" hidden="1" customWidth="1"/>
    <col min="5379" max="5394" width="2.5703125" style="402" hidden="1" customWidth="1"/>
    <col min="5395" max="5395" width="4" style="402" hidden="1" customWidth="1"/>
    <col min="5396" max="5399" width="2.5703125" style="402" hidden="1" customWidth="1"/>
    <col min="5400" max="5400" width="2.42578125" style="402" hidden="1" customWidth="1"/>
    <col min="5401" max="5404" width="2.5703125" style="402" hidden="1" customWidth="1"/>
    <col min="5405" max="5405" width="2.42578125" style="402" hidden="1" customWidth="1"/>
    <col min="5406" max="5409" width="2.5703125" style="402" hidden="1" customWidth="1"/>
    <col min="5410" max="5415" width="2.42578125" style="402" hidden="1" customWidth="1"/>
    <col min="5416" max="5416" width="1.5703125" style="402" hidden="1" customWidth="1"/>
    <col min="5417" max="5632" width="2.5703125" style="402" hidden="1"/>
    <col min="5633" max="5633" width="1.5703125" style="402" hidden="1" customWidth="1"/>
    <col min="5634" max="5634" width="0.85546875" style="402" hidden="1" customWidth="1"/>
    <col min="5635" max="5650" width="2.5703125" style="402" hidden="1" customWidth="1"/>
    <col min="5651" max="5651" width="4" style="402" hidden="1" customWidth="1"/>
    <col min="5652" max="5655" width="2.5703125" style="402" hidden="1" customWidth="1"/>
    <col min="5656" max="5656" width="2.42578125" style="402" hidden="1" customWidth="1"/>
    <col min="5657" max="5660" width="2.5703125" style="402" hidden="1" customWidth="1"/>
    <col min="5661" max="5661" width="2.42578125" style="402" hidden="1" customWidth="1"/>
    <col min="5662" max="5665" width="2.5703125" style="402" hidden="1" customWidth="1"/>
    <col min="5666" max="5671" width="2.42578125" style="402" hidden="1" customWidth="1"/>
    <col min="5672" max="5672" width="1.5703125" style="402" hidden="1" customWidth="1"/>
    <col min="5673" max="5888" width="2.5703125" style="402" hidden="1"/>
    <col min="5889" max="5889" width="1.5703125" style="402" hidden="1" customWidth="1"/>
    <col min="5890" max="5890" width="0.85546875" style="402" hidden="1" customWidth="1"/>
    <col min="5891" max="5906" width="2.5703125" style="402" hidden="1" customWidth="1"/>
    <col min="5907" max="5907" width="4" style="402" hidden="1" customWidth="1"/>
    <col min="5908" max="5911" width="2.5703125" style="402" hidden="1" customWidth="1"/>
    <col min="5912" max="5912" width="2.42578125" style="402" hidden="1" customWidth="1"/>
    <col min="5913" max="5916" width="2.5703125" style="402" hidden="1" customWidth="1"/>
    <col min="5917" max="5917" width="2.42578125" style="402" hidden="1" customWidth="1"/>
    <col min="5918" max="5921" width="2.5703125" style="402" hidden="1" customWidth="1"/>
    <col min="5922" max="5927" width="2.42578125" style="402" hidden="1" customWidth="1"/>
    <col min="5928" max="5928" width="1.5703125" style="402" hidden="1" customWidth="1"/>
    <col min="5929" max="6144" width="2.5703125" style="402" hidden="1"/>
    <col min="6145" max="6145" width="1.5703125" style="402" hidden="1" customWidth="1"/>
    <col min="6146" max="6146" width="0.85546875" style="402" hidden="1" customWidth="1"/>
    <col min="6147" max="6162" width="2.5703125" style="402" hidden="1" customWidth="1"/>
    <col min="6163" max="6163" width="4" style="402" hidden="1" customWidth="1"/>
    <col min="6164" max="6167" width="2.5703125" style="402" hidden="1" customWidth="1"/>
    <col min="6168" max="6168" width="2.42578125" style="402" hidden="1" customWidth="1"/>
    <col min="6169" max="6172" width="2.5703125" style="402" hidden="1" customWidth="1"/>
    <col min="6173" max="6173" width="2.42578125" style="402" hidden="1" customWidth="1"/>
    <col min="6174" max="6177" width="2.5703125" style="402" hidden="1" customWidth="1"/>
    <col min="6178" max="6183" width="2.42578125" style="402" hidden="1" customWidth="1"/>
    <col min="6184" max="6184" width="1.5703125" style="402" hidden="1" customWidth="1"/>
    <col min="6185" max="6400" width="2.5703125" style="402" hidden="1"/>
    <col min="6401" max="6401" width="1.5703125" style="402" hidden="1" customWidth="1"/>
    <col min="6402" max="6402" width="0.85546875" style="402" hidden="1" customWidth="1"/>
    <col min="6403" max="6418" width="2.5703125" style="402" hidden="1" customWidth="1"/>
    <col min="6419" max="6419" width="4" style="402" hidden="1" customWidth="1"/>
    <col min="6420" max="6423" width="2.5703125" style="402" hidden="1" customWidth="1"/>
    <col min="6424" max="6424" width="2.42578125" style="402" hidden="1" customWidth="1"/>
    <col min="6425" max="6428" width="2.5703125" style="402" hidden="1" customWidth="1"/>
    <col min="6429" max="6429" width="2.42578125" style="402" hidden="1" customWidth="1"/>
    <col min="6430" max="6433" width="2.5703125" style="402" hidden="1" customWidth="1"/>
    <col min="6434" max="6439" width="2.42578125" style="402" hidden="1" customWidth="1"/>
    <col min="6440" max="6440" width="1.5703125" style="402" hidden="1" customWidth="1"/>
    <col min="6441" max="6656" width="2.5703125" style="402" hidden="1"/>
    <col min="6657" max="6657" width="1.5703125" style="402" hidden="1" customWidth="1"/>
    <col min="6658" max="6658" width="0.85546875" style="402" hidden="1" customWidth="1"/>
    <col min="6659" max="6674" width="2.5703125" style="402" hidden="1" customWidth="1"/>
    <col min="6675" max="6675" width="4" style="402" hidden="1" customWidth="1"/>
    <col min="6676" max="6679" width="2.5703125" style="402" hidden="1" customWidth="1"/>
    <col min="6680" max="6680" width="2.42578125" style="402" hidden="1" customWidth="1"/>
    <col min="6681" max="6684" width="2.5703125" style="402" hidden="1" customWidth="1"/>
    <col min="6685" max="6685" width="2.42578125" style="402" hidden="1" customWidth="1"/>
    <col min="6686" max="6689" width="2.5703125" style="402" hidden="1" customWidth="1"/>
    <col min="6690" max="6695" width="2.42578125" style="402" hidden="1" customWidth="1"/>
    <col min="6696" max="6696" width="1.5703125" style="402" hidden="1" customWidth="1"/>
    <col min="6697" max="6912" width="2.5703125" style="402" hidden="1"/>
    <col min="6913" max="6913" width="1.5703125" style="402" hidden="1" customWidth="1"/>
    <col min="6914" max="6914" width="0.85546875" style="402" hidden="1" customWidth="1"/>
    <col min="6915" max="6930" width="2.5703125" style="402" hidden="1" customWidth="1"/>
    <col min="6931" max="6931" width="4" style="402" hidden="1" customWidth="1"/>
    <col min="6932" max="6935" width="2.5703125" style="402" hidden="1" customWidth="1"/>
    <col min="6936" max="6936" width="2.42578125" style="402" hidden="1" customWidth="1"/>
    <col min="6937" max="6940" width="2.5703125" style="402" hidden="1" customWidth="1"/>
    <col min="6941" max="6941" width="2.42578125" style="402" hidden="1" customWidth="1"/>
    <col min="6942" max="6945" width="2.5703125" style="402" hidden="1" customWidth="1"/>
    <col min="6946" max="6951" width="2.42578125" style="402" hidden="1" customWidth="1"/>
    <col min="6952" max="6952" width="1.5703125" style="402" hidden="1" customWidth="1"/>
    <col min="6953" max="7168" width="2.5703125" style="402" hidden="1"/>
    <col min="7169" max="7169" width="1.5703125" style="402" hidden="1" customWidth="1"/>
    <col min="7170" max="7170" width="0.85546875" style="402" hidden="1" customWidth="1"/>
    <col min="7171" max="7186" width="2.5703125" style="402" hidden="1" customWidth="1"/>
    <col min="7187" max="7187" width="4" style="402" hidden="1" customWidth="1"/>
    <col min="7188" max="7191" width="2.5703125" style="402" hidden="1" customWidth="1"/>
    <col min="7192" max="7192" width="2.42578125" style="402" hidden="1" customWidth="1"/>
    <col min="7193" max="7196" width="2.5703125" style="402" hidden="1" customWidth="1"/>
    <col min="7197" max="7197" width="2.42578125" style="402" hidden="1" customWidth="1"/>
    <col min="7198" max="7201" width="2.5703125" style="402" hidden="1" customWidth="1"/>
    <col min="7202" max="7207" width="2.42578125" style="402" hidden="1" customWidth="1"/>
    <col min="7208" max="7208" width="1.5703125" style="402" hidden="1" customWidth="1"/>
    <col min="7209" max="7424" width="2.5703125" style="402" hidden="1"/>
    <col min="7425" max="7425" width="1.5703125" style="402" hidden="1" customWidth="1"/>
    <col min="7426" max="7426" width="0.85546875" style="402" hidden="1" customWidth="1"/>
    <col min="7427" max="7442" width="2.5703125" style="402" hidden="1" customWidth="1"/>
    <col min="7443" max="7443" width="4" style="402" hidden="1" customWidth="1"/>
    <col min="7444" max="7447" width="2.5703125" style="402" hidden="1" customWidth="1"/>
    <col min="7448" max="7448" width="2.42578125" style="402" hidden="1" customWidth="1"/>
    <col min="7449" max="7452" width="2.5703125" style="402" hidden="1" customWidth="1"/>
    <col min="7453" max="7453" width="2.42578125" style="402" hidden="1" customWidth="1"/>
    <col min="7454" max="7457" width="2.5703125" style="402" hidden="1" customWidth="1"/>
    <col min="7458" max="7463" width="2.42578125" style="402" hidden="1" customWidth="1"/>
    <col min="7464" max="7464" width="1.5703125" style="402" hidden="1" customWidth="1"/>
    <col min="7465" max="7680" width="2.5703125" style="402" hidden="1"/>
    <col min="7681" max="7681" width="1.5703125" style="402" hidden="1" customWidth="1"/>
    <col min="7682" max="7682" width="0.85546875" style="402" hidden="1" customWidth="1"/>
    <col min="7683" max="7698" width="2.5703125" style="402" hidden="1" customWidth="1"/>
    <col min="7699" max="7699" width="4" style="402" hidden="1" customWidth="1"/>
    <col min="7700" max="7703" width="2.5703125" style="402" hidden="1" customWidth="1"/>
    <col min="7704" max="7704" width="2.42578125" style="402" hidden="1" customWidth="1"/>
    <col min="7705" max="7708" width="2.5703125" style="402" hidden="1" customWidth="1"/>
    <col min="7709" max="7709" width="2.42578125" style="402" hidden="1" customWidth="1"/>
    <col min="7710" max="7713" width="2.5703125" style="402" hidden="1" customWidth="1"/>
    <col min="7714" max="7719" width="2.42578125" style="402" hidden="1" customWidth="1"/>
    <col min="7720" max="7720" width="1.5703125" style="402" hidden="1" customWidth="1"/>
    <col min="7721" max="7936" width="2.5703125" style="402" hidden="1"/>
    <col min="7937" max="7937" width="1.5703125" style="402" hidden="1" customWidth="1"/>
    <col min="7938" max="7938" width="0.85546875" style="402" hidden="1" customWidth="1"/>
    <col min="7939" max="7954" width="2.5703125" style="402" hidden="1" customWidth="1"/>
    <col min="7955" max="7955" width="4" style="402" hidden="1" customWidth="1"/>
    <col min="7956" max="7959" width="2.5703125" style="402" hidden="1" customWidth="1"/>
    <col min="7960" max="7960" width="2.42578125" style="402" hidden="1" customWidth="1"/>
    <col min="7961" max="7964" width="2.5703125" style="402" hidden="1" customWidth="1"/>
    <col min="7965" max="7965" width="2.42578125" style="402" hidden="1" customWidth="1"/>
    <col min="7966" max="7969" width="2.5703125" style="402" hidden="1" customWidth="1"/>
    <col min="7970" max="7975" width="2.42578125" style="402" hidden="1" customWidth="1"/>
    <col min="7976" max="7976" width="1.5703125" style="402" hidden="1" customWidth="1"/>
    <col min="7977" max="8192" width="2.5703125" style="402" hidden="1"/>
    <col min="8193" max="8193" width="1.5703125" style="402" hidden="1" customWidth="1"/>
    <col min="8194" max="8194" width="0.85546875" style="402" hidden="1" customWidth="1"/>
    <col min="8195" max="8210" width="2.5703125" style="402" hidden="1" customWidth="1"/>
    <col min="8211" max="8211" width="4" style="402" hidden="1" customWidth="1"/>
    <col min="8212" max="8215" width="2.5703125" style="402" hidden="1" customWidth="1"/>
    <col min="8216" max="8216" width="2.42578125" style="402" hidden="1" customWidth="1"/>
    <col min="8217" max="8220" width="2.5703125" style="402" hidden="1" customWidth="1"/>
    <col min="8221" max="8221" width="2.42578125" style="402" hidden="1" customWidth="1"/>
    <col min="8222" max="8225" width="2.5703125" style="402" hidden="1" customWidth="1"/>
    <col min="8226" max="8231" width="2.42578125" style="402" hidden="1" customWidth="1"/>
    <col min="8232" max="8232" width="1.5703125" style="402" hidden="1" customWidth="1"/>
    <col min="8233" max="8448" width="2.5703125" style="402" hidden="1"/>
    <col min="8449" max="8449" width="1.5703125" style="402" hidden="1" customWidth="1"/>
    <col min="8450" max="8450" width="0.85546875" style="402" hidden="1" customWidth="1"/>
    <col min="8451" max="8466" width="2.5703125" style="402" hidden="1" customWidth="1"/>
    <col min="8467" max="8467" width="4" style="402" hidden="1" customWidth="1"/>
    <col min="8468" max="8471" width="2.5703125" style="402" hidden="1" customWidth="1"/>
    <col min="8472" max="8472" width="2.42578125" style="402" hidden="1" customWidth="1"/>
    <col min="8473" max="8476" width="2.5703125" style="402" hidden="1" customWidth="1"/>
    <col min="8477" max="8477" width="2.42578125" style="402" hidden="1" customWidth="1"/>
    <col min="8478" max="8481" width="2.5703125" style="402" hidden="1" customWidth="1"/>
    <col min="8482" max="8487" width="2.42578125" style="402" hidden="1" customWidth="1"/>
    <col min="8488" max="8488" width="1.5703125" style="402" hidden="1" customWidth="1"/>
    <col min="8489" max="8704" width="2.5703125" style="402" hidden="1"/>
    <col min="8705" max="8705" width="1.5703125" style="402" hidden="1" customWidth="1"/>
    <col min="8706" max="8706" width="0.85546875" style="402" hidden="1" customWidth="1"/>
    <col min="8707" max="8722" width="2.5703125" style="402" hidden="1" customWidth="1"/>
    <col min="8723" max="8723" width="4" style="402" hidden="1" customWidth="1"/>
    <col min="8724" max="8727" width="2.5703125" style="402" hidden="1" customWidth="1"/>
    <col min="8728" max="8728" width="2.42578125" style="402" hidden="1" customWidth="1"/>
    <col min="8729" max="8732" width="2.5703125" style="402" hidden="1" customWidth="1"/>
    <col min="8733" max="8733" width="2.42578125" style="402" hidden="1" customWidth="1"/>
    <col min="8734" max="8737" width="2.5703125" style="402" hidden="1" customWidth="1"/>
    <col min="8738" max="8743" width="2.42578125" style="402" hidden="1" customWidth="1"/>
    <col min="8744" max="8744" width="1.5703125" style="402" hidden="1" customWidth="1"/>
    <col min="8745" max="8960" width="2.5703125" style="402" hidden="1"/>
    <col min="8961" max="8961" width="1.5703125" style="402" hidden="1" customWidth="1"/>
    <col min="8962" max="8962" width="0.85546875" style="402" hidden="1" customWidth="1"/>
    <col min="8963" max="8978" width="2.5703125" style="402" hidden="1" customWidth="1"/>
    <col min="8979" max="8979" width="4" style="402" hidden="1" customWidth="1"/>
    <col min="8980" max="8983" width="2.5703125" style="402" hidden="1" customWidth="1"/>
    <col min="8984" max="8984" width="2.42578125" style="402" hidden="1" customWidth="1"/>
    <col min="8985" max="8988" width="2.5703125" style="402" hidden="1" customWidth="1"/>
    <col min="8989" max="8989" width="2.42578125" style="402" hidden="1" customWidth="1"/>
    <col min="8990" max="8993" width="2.5703125" style="402" hidden="1" customWidth="1"/>
    <col min="8994" max="8999" width="2.42578125" style="402" hidden="1" customWidth="1"/>
    <col min="9000" max="9000" width="1.5703125" style="402" hidden="1" customWidth="1"/>
    <col min="9001" max="9216" width="2.5703125" style="402" hidden="1"/>
    <col min="9217" max="9217" width="1.5703125" style="402" hidden="1" customWidth="1"/>
    <col min="9218" max="9218" width="0.85546875" style="402" hidden="1" customWidth="1"/>
    <col min="9219" max="9234" width="2.5703125" style="402" hidden="1" customWidth="1"/>
    <col min="9235" max="9235" width="4" style="402" hidden="1" customWidth="1"/>
    <col min="9236" max="9239" width="2.5703125" style="402" hidden="1" customWidth="1"/>
    <col min="9240" max="9240" width="2.42578125" style="402" hidden="1" customWidth="1"/>
    <col min="9241" max="9244" width="2.5703125" style="402" hidden="1" customWidth="1"/>
    <col min="9245" max="9245" width="2.42578125" style="402" hidden="1" customWidth="1"/>
    <col min="9246" max="9249" width="2.5703125" style="402" hidden="1" customWidth="1"/>
    <col min="9250" max="9255" width="2.42578125" style="402" hidden="1" customWidth="1"/>
    <col min="9256" max="9256" width="1.5703125" style="402" hidden="1" customWidth="1"/>
    <col min="9257" max="9472" width="2.5703125" style="402" hidden="1"/>
    <col min="9473" max="9473" width="1.5703125" style="402" hidden="1" customWidth="1"/>
    <col min="9474" max="9474" width="0.85546875" style="402" hidden="1" customWidth="1"/>
    <col min="9475" max="9490" width="2.5703125" style="402" hidden="1" customWidth="1"/>
    <col min="9491" max="9491" width="4" style="402" hidden="1" customWidth="1"/>
    <col min="9492" max="9495" width="2.5703125" style="402" hidden="1" customWidth="1"/>
    <col min="9496" max="9496" width="2.42578125" style="402" hidden="1" customWidth="1"/>
    <col min="9497" max="9500" width="2.5703125" style="402" hidden="1" customWidth="1"/>
    <col min="9501" max="9501" width="2.42578125" style="402" hidden="1" customWidth="1"/>
    <col min="9502" max="9505" width="2.5703125" style="402" hidden="1" customWidth="1"/>
    <col min="9506" max="9511" width="2.42578125" style="402" hidden="1" customWidth="1"/>
    <col min="9512" max="9512" width="1.5703125" style="402" hidden="1" customWidth="1"/>
    <col min="9513" max="9728" width="2.5703125" style="402" hidden="1"/>
    <col min="9729" max="9729" width="1.5703125" style="402" hidden="1" customWidth="1"/>
    <col min="9730" max="9730" width="0.85546875" style="402" hidden="1" customWidth="1"/>
    <col min="9731" max="9746" width="2.5703125" style="402" hidden="1" customWidth="1"/>
    <col min="9747" max="9747" width="4" style="402" hidden="1" customWidth="1"/>
    <col min="9748" max="9751" width="2.5703125" style="402" hidden="1" customWidth="1"/>
    <col min="9752" max="9752" width="2.42578125" style="402" hidden="1" customWidth="1"/>
    <col min="9753" max="9756" width="2.5703125" style="402" hidden="1" customWidth="1"/>
    <col min="9757" max="9757" width="2.42578125" style="402" hidden="1" customWidth="1"/>
    <col min="9758" max="9761" width="2.5703125" style="402" hidden="1" customWidth="1"/>
    <col min="9762" max="9767" width="2.42578125" style="402" hidden="1" customWidth="1"/>
    <col min="9768" max="9768" width="1.5703125" style="402" hidden="1" customWidth="1"/>
    <col min="9769" max="9984" width="2.5703125" style="402" hidden="1"/>
    <col min="9985" max="9985" width="1.5703125" style="402" hidden="1" customWidth="1"/>
    <col min="9986" max="9986" width="0.85546875" style="402" hidden="1" customWidth="1"/>
    <col min="9987" max="10002" width="2.5703125" style="402" hidden="1" customWidth="1"/>
    <col min="10003" max="10003" width="4" style="402" hidden="1" customWidth="1"/>
    <col min="10004" max="10007" width="2.5703125" style="402" hidden="1" customWidth="1"/>
    <col min="10008" max="10008" width="2.42578125" style="402" hidden="1" customWidth="1"/>
    <col min="10009" max="10012" width="2.5703125" style="402" hidden="1" customWidth="1"/>
    <col min="10013" max="10013" width="2.42578125" style="402" hidden="1" customWidth="1"/>
    <col min="10014" max="10017" width="2.5703125" style="402" hidden="1" customWidth="1"/>
    <col min="10018" max="10023" width="2.42578125" style="402" hidden="1" customWidth="1"/>
    <col min="10024" max="10024" width="1.5703125" style="402" hidden="1" customWidth="1"/>
    <col min="10025" max="10240" width="2.5703125" style="402" hidden="1"/>
    <col min="10241" max="10241" width="1.5703125" style="402" hidden="1" customWidth="1"/>
    <col min="10242" max="10242" width="0.85546875" style="402" hidden="1" customWidth="1"/>
    <col min="10243" max="10258" width="2.5703125" style="402" hidden="1" customWidth="1"/>
    <col min="10259" max="10259" width="4" style="402" hidden="1" customWidth="1"/>
    <col min="10260" max="10263" width="2.5703125" style="402" hidden="1" customWidth="1"/>
    <col min="10264" max="10264" width="2.42578125" style="402" hidden="1" customWidth="1"/>
    <col min="10265" max="10268" width="2.5703125" style="402" hidden="1" customWidth="1"/>
    <col min="10269" max="10269" width="2.42578125" style="402" hidden="1" customWidth="1"/>
    <col min="10270" max="10273" width="2.5703125" style="402" hidden="1" customWidth="1"/>
    <col min="10274" max="10279" width="2.42578125" style="402" hidden="1" customWidth="1"/>
    <col min="10280" max="10280" width="1.5703125" style="402" hidden="1" customWidth="1"/>
    <col min="10281" max="10496" width="2.5703125" style="402" hidden="1"/>
    <col min="10497" max="10497" width="1.5703125" style="402" hidden="1" customWidth="1"/>
    <col min="10498" max="10498" width="0.85546875" style="402" hidden="1" customWidth="1"/>
    <col min="10499" max="10514" width="2.5703125" style="402" hidden="1" customWidth="1"/>
    <col min="10515" max="10515" width="4" style="402" hidden="1" customWidth="1"/>
    <col min="10516" max="10519" width="2.5703125" style="402" hidden="1" customWidth="1"/>
    <col min="10520" max="10520" width="2.42578125" style="402" hidden="1" customWidth="1"/>
    <col min="10521" max="10524" width="2.5703125" style="402" hidden="1" customWidth="1"/>
    <col min="10525" max="10525" width="2.42578125" style="402" hidden="1" customWidth="1"/>
    <col min="10526" max="10529" width="2.5703125" style="402" hidden="1" customWidth="1"/>
    <col min="10530" max="10535" width="2.42578125" style="402" hidden="1" customWidth="1"/>
    <col min="10536" max="10536" width="1.5703125" style="402" hidden="1" customWidth="1"/>
    <col min="10537" max="10752" width="2.5703125" style="402" hidden="1"/>
    <col min="10753" max="10753" width="1.5703125" style="402" hidden="1" customWidth="1"/>
    <col min="10754" max="10754" width="0.85546875" style="402" hidden="1" customWidth="1"/>
    <col min="10755" max="10770" width="2.5703125" style="402" hidden="1" customWidth="1"/>
    <col min="10771" max="10771" width="4" style="402" hidden="1" customWidth="1"/>
    <col min="10772" max="10775" width="2.5703125" style="402" hidden="1" customWidth="1"/>
    <col min="10776" max="10776" width="2.42578125" style="402" hidden="1" customWidth="1"/>
    <col min="10777" max="10780" width="2.5703125" style="402" hidden="1" customWidth="1"/>
    <col min="10781" max="10781" width="2.42578125" style="402" hidden="1" customWidth="1"/>
    <col min="10782" max="10785" width="2.5703125" style="402" hidden="1" customWidth="1"/>
    <col min="10786" max="10791" width="2.42578125" style="402" hidden="1" customWidth="1"/>
    <col min="10792" max="10792" width="1.5703125" style="402" hidden="1" customWidth="1"/>
    <col min="10793" max="11008" width="2.5703125" style="402" hidden="1"/>
    <col min="11009" max="11009" width="1.5703125" style="402" hidden="1" customWidth="1"/>
    <col min="11010" max="11010" width="0.85546875" style="402" hidden="1" customWidth="1"/>
    <col min="11011" max="11026" width="2.5703125" style="402" hidden="1" customWidth="1"/>
    <col min="11027" max="11027" width="4" style="402" hidden="1" customWidth="1"/>
    <col min="11028" max="11031" width="2.5703125" style="402" hidden="1" customWidth="1"/>
    <col min="11032" max="11032" width="2.42578125" style="402" hidden="1" customWidth="1"/>
    <col min="11033" max="11036" width="2.5703125" style="402" hidden="1" customWidth="1"/>
    <col min="11037" max="11037" width="2.42578125" style="402" hidden="1" customWidth="1"/>
    <col min="11038" max="11041" width="2.5703125" style="402" hidden="1" customWidth="1"/>
    <col min="11042" max="11047" width="2.42578125" style="402" hidden="1" customWidth="1"/>
    <col min="11048" max="11048" width="1.5703125" style="402" hidden="1" customWidth="1"/>
    <col min="11049" max="11264" width="2.5703125" style="402" hidden="1"/>
    <col min="11265" max="11265" width="1.5703125" style="402" hidden="1" customWidth="1"/>
    <col min="11266" max="11266" width="0.85546875" style="402" hidden="1" customWidth="1"/>
    <col min="11267" max="11282" width="2.5703125" style="402" hidden="1" customWidth="1"/>
    <col min="11283" max="11283" width="4" style="402" hidden="1" customWidth="1"/>
    <col min="11284" max="11287" width="2.5703125" style="402" hidden="1" customWidth="1"/>
    <col min="11288" max="11288" width="2.42578125" style="402" hidden="1" customWidth="1"/>
    <col min="11289" max="11292" width="2.5703125" style="402" hidden="1" customWidth="1"/>
    <col min="11293" max="11293" width="2.42578125" style="402" hidden="1" customWidth="1"/>
    <col min="11294" max="11297" width="2.5703125" style="402" hidden="1" customWidth="1"/>
    <col min="11298" max="11303" width="2.42578125" style="402" hidden="1" customWidth="1"/>
    <col min="11304" max="11304" width="1.5703125" style="402" hidden="1" customWidth="1"/>
    <col min="11305" max="11520" width="2.5703125" style="402" hidden="1"/>
    <col min="11521" max="11521" width="1.5703125" style="402" hidden="1" customWidth="1"/>
    <col min="11522" max="11522" width="0.85546875" style="402" hidden="1" customWidth="1"/>
    <col min="11523" max="11538" width="2.5703125" style="402" hidden="1" customWidth="1"/>
    <col min="11539" max="11539" width="4" style="402" hidden="1" customWidth="1"/>
    <col min="11540" max="11543" width="2.5703125" style="402" hidden="1" customWidth="1"/>
    <col min="11544" max="11544" width="2.42578125" style="402" hidden="1" customWidth="1"/>
    <col min="11545" max="11548" width="2.5703125" style="402" hidden="1" customWidth="1"/>
    <col min="11549" max="11549" width="2.42578125" style="402" hidden="1" customWidth="1"/>
    <col min="11550" max="11553" width="2.5703125" style="402" hidden="1" customWidth="1"/>
    <col min="11554" max="11559" width="2.42578125" style="402" hidden="1" customWidth="1"/>
    <col min="11560" max="11560" width="1.5703125" style="402" hidden="1" customWidth="1"/>
    <col min="11561" max="11776" width="2.5703125" style="402" hidden="1"/>
    <col min="11777" max="11777" width="1.5703125" style="402" hidden="1" customWidth="1"/>
    <col min="11778" max="11778" width="0.85546875" style="402" hidden="1" customWidth="1"/>
    <col min="11779" max="11794" width="2.5703125" style="402" hidden="1" customWidth="1"/>
    <col min="11795" max="11795" width="4" style="402" hidden="1" customWidth="1"/>
    <col min="11796" max="11799" width="2.5703125" style="402" hidden="1" customWidth="1"/>
    <col min="11800" max="11800" width="2.42578125" style="402" hidden="1" customWidth="1"/>
    <col min="11801" max="11804" width="2.5703125" style="402" hidden="1" customWidth="1"/>
    <col min="11805" max="11805" width="2.42578125" style="402" hidden="1" customWidth="1"/>
    <col min="11806" max="11809" width="2.5703125" style="402" hidden="1" customWidth="1"/>
    <col min="11810" max="11815" width="2.42578125" style="402" hidden="1" customWidth="1"/>
    <col min="11816" max="11816" width="1.5703125" style="402" hidden="1" customWidth="1"/>
    <col min="11817" max="12032" width="2.5703125" style="402" hidden="1"/>
    <col min="12033" max="12033" width="1.5703125" style="402" hidden="1" customWidth="1"/>
    <col min="12034" max="12034" width="0.85546875" style="402" hidden="1" customWidth="1"/>
    <col min="12035" max="12050" width="2.5703125" style="402" hidden="1" customWidth="1"/>
    <col min="12051" max="12051" width="4" style="402" hidden="1" customWidth="1"/>
    <col min="12052" max="12055" width="2.5703125" style="402" hidden="1" customWidth="1"/>
    <col min="12056" max="12056" width="2.42578125" style="402" hidden="1" customWidth="1"/>
    <col min="12057" max="12060" width="2.5703125" style="402" hidden="1" customWidth="1"/>
    <col min="12061" max="12061" width="2.42578125" style="402" hidden="1" customWidth="1"/>
    <col min="12062" max="12065" width="2.5703125" style="402" hidden="1" customWidth="1"/>
    <col min="12066" max="12071" width="2.42578125" style="402" hidden="1" customWidth="1"/>
    <col min="12072" max="12072" width="1.5703125" style="402" hidden="1" customWidth="1"/>
    <col min="12073" max="12288" width="2.5703125" style="402" hidden="1"/>
    <col min="12289" max="12289" width="1.5703125" style="402" hidden="1" customWidth="1"/>
    <col min="12290" max="12290" width="0.85546875" style="402" hidden="1" customWidth="1"/>
    <col min="12291" max="12306" width="2.5703125" style="402" hidden="1" customWidth="1"/>
    <col min="12307" max="12307" width="4" style="402" hidden="1" customWidth="1"/>
    <col min="12308" max="12311" width="2.5703125" style="402" hidden="1" customWidth="1"/>
    <col min="12312" max="12312" width="2.42578125" style="402" hidden="1" customWidth="1"/>
    <col min="12313" max="12316" width="2.5703125" style="402" hidden="1" customWidth="1"/>
    <col min="12317" max="12317" width="2.42578125" style="402" hidden="1" customWidth="1"/>
    <col min="12318" max="12321" width="2.5703125" style="402" hidden="1" customWidth="1"/>
    <col min="12322" max="12327" width="2.42578125" style="402" hidden="1" customWidth="1"/>
    <col min="12328" max="12328" width="1.5703125" style="402" hidden="1" customWidth="1"/>
    <col min="12329" max="12544" width="2.5703125" style="402" hidden="1"/>
    <col min="12545" max="12545" width="1.5703125" style="402" hidden="1" customWidth="1"/>
    <col min="12546" max="12546" width="0.85546875" style="402" hidden="1" customWidth="1"/>
    <col min="12547" max="12562" width="2.5703125" style="402" hidden="1" customWidth="1"/>
    <col min="12563" max="12563" width="4" style="402" hidden="1" customWidth="1"/>
    <col min="12564" max="12567" width="2.5703125" style="402" hidden="1" customWidth="1"/>
    <col min="12568" max="12568" width="2.42578125" style="402" hidden="1" customWidth="1"/>
    <col min="12569" max="12572" width="2.5703125" style="402" hidden="1" customWidth="1"/>
    <col min="12573" max="12573" width="2.42578125" style="402" hidden="1" customWidth="1"/>
    <col min="12574" max="12577" width="2.5703125" style="402" hidden="1" customWidth="1"/>
    <col min="12578" max="12583" width="2.42578125" style="402" hidden="1" customWidth="1"/>
    <col min="12584" max="12584" width="1.5703125" style="402" hidden="1" customWidth="1"/>
    <col min="12585" max="12800" width="2.5703125" style="402" hidden="1"/>
    <col min="12801" max="12801" width="1.5703125" style="402" hidden="1" customWidth="1"/>
    <col min="12802" max="12802" width="0.85546875" style="402" hidden="1" customWidth="1"/>
    <col min="12803" max="12818" width="2.5703125" style="402" hidden="1" customWidth="1"/>
    <col min="12819" max="12819" width="4" style="402" hidden="1" customWidth="1"/>
    <col min="12820" max="12823" width="2.5703125" style="402" hidden="1" customWidth="1"/>
    <col min="12824" max="12824" width="2.42578125" style="402" hidden="1" customWidth="1"/>
    <col min="12825" max="12828" width="2.5703125" style="402" hidden="1" customWidth="1"/>
    <col min="12829" max="12829" width="2.42578125" style="402" hidden="1" customWidth="1"/>
    <col min="12830" max="12833" width="2.5703125" style="402" hidden="1" customWidth="1"/>
    <col min="12834" max="12839" width="2.42578125" style="402" hidden="1" customWidth="1"/>
    <col min="12840" max="12840" width="1.5703125" style="402" hidden="1" customWidth="1"/>
    <col min="12841" max="13056" width="2.5703125" style="402" hidden="1"/>
    <col min="13057" max="13057" width="1.5703125" style="402" hidden="1" customWidth="1"/>
    <col min="13058" max="13058" width="0.85546875" style="402" hidden="1" customWidth="1"/>
    <col min="13059" max="13074" width="2.5703125" style="402" hidden="1" customWidth="1"/>
    <col min="13075" max="13075" width="4" style="402" hidden="1" customWidth="1"/>
    <col min="13076" max="13079" width="2.5703125" style="402" hidden="1" customWidth="1"/>
    <col min="13080" max="13080" width="2.42578125" style="402" hidden="1" customWidth="1"/>
    <col min="13081" max="13084" width="2.5703125" style="402" hidden="1" customWidth="1"/>
    <col min="13085" max="13085" width="2.42578125" style="402" hidden="1" customWidth="1"/>
    <col min="13086" max="13089" width="2.5703125" style="402" hidden="1" customWidth="1"/>
    <col min="13090" max="13095" width="2.42578125" style="402" hidden="1" customWidth="1"/>
    <col min="13096" max="13096" width="1.5703125" style="402" hidden="1" customWidth="1"/>
    <col min="13097" max="13312" width="2.5703125" style="402" hidden="1"/>
    <col min="13313" max="13313" width="1.5703125" style="402" hidden="1" customWidth="1"/>
    <col min="13314" max="13314" width="0.85546875" style="402" hidden="1" customWidth="1"/>
    <col min="13315" max="13330" width="2.5703125" style="402" hidden="1" customWidth="1"/>
    <col min="13331" max="13331" width="4" style="402" hidden="1" customWidth="1"/>
    <col min="13332" max="13335" width="2.5703125" style="402" hidden="1" customWidth="1"/>
    <col min="13336" max="13336" width="2.42578125" style="402" hidden="1" customWidth="1"/>
    <col min="13337" max="13340" width="2.5703125" style="402" hidden="1" customWidth="1"/>
    <col min="13341" max="13341" width="2.42578125" style="402" hidden="1" customWidth="1"/>
    <col min="13342" max="13345" width="2.5703125" style="402" hidden="1" customWidth="1"/>
    <col min="13346" max="13351" width="2.42578125" style="402" hidden="1" customWidth="1"/>
    <col min="13352" max="13352" width="1.5703125" style="402" hidden="1" customWidth="1"/>
    <col min="13353" max="13568" width="2.5703125" style="402" hidden="1"/>
    <col min="13569" max="13569" width="1.5703125" style="402" hidden="1" customWidth="1"/>
    <col min="13570" max="13570" width="0.85546875" style="402" hidden="1" customWidth="1"/>
    <col min="13571" max="13586" width="2.5703125" style="402" hidden="1" customWidth="1"/>
    <col min="13587" max="13587" width="4" style="402" hidden="1" customWidth="1"/>
    <col min="13588" max="13591" width="2.5703125" style="402" hidden="1" customWidth="1"/>
    <col min="13592" max="13592" width="2.42578125" style="402" hidden="1" customWidth="1"/>
    <col min="13593" max="13596" width="2.5703125" style="402" hidden="1" customWidth="1"/>
    <col min="13597" max="13597" width="2.42578125" style="402" hidden="1" customWidth="1"/>
    <col min="13598" max="13601" width="2.5703125" style="402" hidden="1" customWidth="1"/>
    <col min="13602" max="13607" width="2.42578125" style="402" hidden="1" customWidth="1"/>
    <col min="13608" max="13608" width="1.5703125" style="402" hidden="1" customWidth="1"/>
    <col min="13609" max="13824" width="2.5703125" style="402" hidden="1"/>
    <col min="13825" max="13825" width="1.5703125" style="402" hidden="1" customWidth="1"/>
    <col min="13826" max="13826" width="0.85546875" style="402" hidden="1" customWidth="1"/>
    <col min="13827" max="13842" width="2.5703125" style="402" hidden="1" customWidth="1"/>
    <col min="13843" max="13843" width="4" style="402" hidden="1" customWidth="1"/>
    <col min="13844" max="13847" width="2.5703125" style="402" hidden="1" customWidth="1"/>
    <col min="13848" max="13848" width="2.42578125" style="402" hidden="1" customWidth="1"/>
    <col min="13849" max="13852" width="2.5703125" style="402" hidden="1" customWidth="1"/>
    <col min="13853" max="13853" width="2.42578125" style="402" hidden="1" customWidth="1"/>
    <col min="13854" max="13857" width="2.5703125" style="402" hidden="1" customWidth="1"/>
    <col min="13858" max="13863" width="2.42578125" style="402" hidden="1" customWidth="1"/>
    <col min="13864" max="13864" width="1.5703125" style="402" hidden="1" customWidth="1"/>
    <col min="13865" max="14080" width="2.5703125" style="402" hidden="1"/>
    <col min="14081" max="14081" width="1.5703125" style="402" hidden="1" customWidth="1"/>
    <col min="14082" max="14082" width="0.85546875" style="402" hidden="1" customWidth="1"/>
    <col min="14083" max="14098" width="2.5703125" style="402" hidden="1" customWidth="1"/>
    <col min="14099" max="14099" width="4" style="402" hidden="1" customWidth="1"/>
    <col min="14100" max="14103" width="2.5703125" style="402" hidden="1" customWidth="1"/>
    <col min="14104" max="14104" width="2.42578125" style="402" hidden="1" customWidth="1"/>
    <col min="14105" max="14108" width="2.5703125" style="402" hidden="1" customWidth="1"/>
    <col min="14109" max="14109" width="2.42578125" style="402" hidden="1" customWidth="1"/>
    <col min="14110" max="14113" width="2.5703125" style="402" hidden="1" customWidth="1"/>
    <col min="14114" max="14119" width="2.42578125" style="402" hidden="1" customWidth="1"/>
    <col min="14120" max="14120" width="1.5703125" style="402" hidden="1" customWidth="1"/>
    <col min="14121" max="14336" width="2.5703125" style="402" hidden="1"/>
    <col min="14337" max="14337" width="1.5703125" style="402" hidden="1" customWidth="1"/>
    <col min="14338" max="14338" width="0.85546875" style="402" hidden="1" customWidth="1"/>
    <col min="14339" max="14354" width="2.5703125" style="402" hidden="1" customWidth="1"/>
    <col min="14355" max="14355" width="4" style="402" hidden="1" customWidth="1"/>
    <col min="14356" max="14359" width="2.5703125" style="402" hidden="1" customWidth="1"/>
    <col min="14360" max="14360" width="2.42578125" style="402" hidden="1" customWidth="1"/>
    <col min="14361" max="14364" width="2.5703125" style="402" hidden="1" customWidth="1"/>
    <col min="14365" max="14365" width="2.42578125" style="402" hidden="1" customWidth="1"/>
    <col min="14366" max="14369" width="2.5703125" style="402" hidden="1" customWidth="1"/>
    <col min="14370" max="14375" width="2.42578125" style="402" hidden="1" customWidth="1"/>
    <col min="14376" max="14376" width="1.5703125" style="402" hidden="1" customWidth="1"/>
    <col min="14377" max="14592" width="2.5703125" style="402" hidden="1"/>
    <col min="14593" max="14593" width="1.5703125" style="402" hidden="1" customWidth="1"/>
    <col min="14594" max="14594" width="0.85546875" style="402" hidden="1" customWidth="1"/>
    <col min="14595" max="14610" width="2.5703125" style="402" hidden="1" customWidth="1"/>
    <col min="14611" max="14611" width="4" style="402" hidden="1" customWidth="1"/>
    <col min="14612" max="14615" width="2.5703125" style="402" hidden="1" customWidth="1"/>
    <col min="14616" max="14616" width="2.42578125" style="402" hidden="1" customWidth="1"/>
    <col min="14617" max="14620" width="2.5703125" style="402" hidden="1" customWidth="1"/>
    <col min="14621" max="14621" width="2.42578125" style="402" hidden="1" customWidth="1"/>
    <col min="14622" max="14625" width="2.5703125" style="402" hidden="1" customWidth="1"/>
    <col min="14626" max="14631" width="2.42578125" style="402" hidden="1" customWidth="1"/>
    <col min="14632" max="14632" width="1.5703125" style="402" hidden="1" customWidth="1"/>
    <col min="14633" max="14848" width="2.5703125" style="402" hidden="1"/>
    <col min="14849" max="14849" width="1.5703125" style="402" hidden="1" customWidth="1"/>
    <col min="14850" max="14850" width="0.85546875" style="402" hidden="1" customWidth="1"/>
    <col min="14851" max="14866" width="2.5703125" style="402" hidden="1" customWidth="1"/>
    <col min="14867" max="14867" width="4" style="402" hidden="1" customWidth="1"/>
    <col min="14868" max="14871" width="2.5703125" style="402" hidden="1" customWidth="1"/>
    <col min="14872" max="14872" width="2.42578125" style="402" hidden="1" customWidth="1"/>
    <col min="14873" max="14876" width="2.5703125" style="402" hidden="1" customWidth="1"/>
    <col min="14877" max="14877" width="2.42578125" style="402" hidden="1" customWidth="1"/>
    <col min="14878" max="14881" width="2.5703125" style="402" hidden="1" customWidth="1"/>
    <col min="14882" max="14887" width="2.42578125" style="402" hidden="1" customWidth="1"/>
    <col min="14888" max="14888" width="1.5703125" style="402" hidden="1" customWidth="1"/>
    <col min="14889" max="15104" width="2.5703125" style="402" hidden="1"/>
    <col min="15105" max="15105" width="1.5703125" style="402" hidden="1" customWidth="1"/>
    <col min="15106" max="15106" width="0.85546875" style="402" hidden="1" customWidth="1"/>
    <col min="15107" max="15122" width="2.5703125" style="402" hidden="1" customWidth="1"/>
    <col min="15123" max="15123" width="4" style="402" hidden="1" customWidth="1"/>
    <col min="15124" max="15127" width="2.5703125" style="402" hidden="1" customWidth="1"/>
    <col min="15128" max="15128" width="2.42578125" style="402" hidden="1" customWidth="1"/>
    <col min="15129" max="15132" width="2.5703125" style="402" hidden="1" customWidth="1"/>
    <col min="15133" max="15133" width="2.42578125" style="402" hidden="1" customWidth="1"/>
    <col min="15134" max="15137" width="2.5703125" style="402" hidden="1" customWidth="1"/>
    <col min="15138" max="15143" width="2.42578125" style="402" hidden="1" customWidth="1"/>
    <col min="15144" max="15144" width="1.5703125" style="402" hidden="1" customWidth="1"/>
    <col min="15145" max="15360" width="2.5703125" style="402" hidden="1"/>
    <col min="15361" max="15361" width="1.5703125" style="402" hidden="1" customWidth="1"/>
    <col min="15362" max="15362" width="0.85546875" style="402" hidden="1" customWidth="1"/>
    <col min="15363" max="15378" width="2.5703125" style="402" hidden="1" customWidth="1"/>
    <col min="15379" max="15379" width="4" style="402" hidden="1" customWidth="1"/>
    <col min="15380" max="15383" width="2.5703125" style="402" hidden="1" customWidth="1"/>
    <col min="15384" max="15384" width="2.42578125" style="402" hidden="1" customWidth="1"/>
    <col min="15385" max="15388" width="2.5703125" style="402" hidden="1" customWidth="1"/>
    <col min="15389" max="15389" width="2.42578125" style="402" hidden="1" customWidth="1"/>
    <col min="15390" max="15393" width="2.5703125" style="402" hidden="1" customWidth="1"/>
    <col min="15394" max="15399" width="2.42578125" style="402" hidden="1" customWidth="1"/>
    <col min="15400" max="15400" width="1.5703125" style="402" hidden="1" customWidth="1"/>
    <col min="15401" max="15616" width="2.5703125" style="402" hidden="1"/>
    <col min="15617" max="15617" width="1.5703125" style="402" hidden="1" customWidth="1"/>
    <col min="15618" max="15618" width="0.85546875" style="402" hidden="1" customWidth="1"/>
    <col min="15619" max="15634" width="2.5703125" style="402" hidden="1" customWidth="1"/>
    <col min="15635" max="15635" width="4" style="402" hidden="1" customWidth="1"/>
    <col min="15636" max="15639" width="2.5703125" style="402" hidden="1" customWidth="1"/>
    <col min="15640" max="15640" width="2.42578125" style="402" hidden="1" customWidth="1"/>
    <col min="15641" max="15644" width="2.5703125" style="402" hidden="1" customWidth="1"/>
    <col min="15645" max="15645" width="2.42578125" style="402" hidden="1" customWidth="1"/>
    <col min="15646" max="15649" width="2.5703125" style="402" hidden="1" customWidth="1"/>
    <col min="15650" max="15655" width="2.42578125" style="402" hidden="1" customWidth="1"/>
    <col min="15656" max="15656" width="1.5703125" style="402" hidden="1" customWidth="1"/>
    <col min="15657" max="15872" width="2.5703125" style="402" hidden="1"/>
    <col min="15873" max="15873" width="1.5703125" style="402" hidden="1" customWidth="1"/>
    <col min="15874" max="15874" width="0.85546875" style="402" hidden="1" customWidth="1"/>
    <col min="15875" max="15890" width="2.5703125" style="402" hidden="1" customWidth="1"/>
    <col min="15891" max="15891" width="4" style="402" hidden="1" customWidth="1"/>
    <col min="15892" max="15895" width="2.5703125" style="402" hidden="1" customWidth="1"/>
    <col min="15896" max="15896" width="2.42578125" style="402" hidden="1" customWidth="1"/>
    <col min="15897" max="15900" width="2.5703125" style="402" hidden="1" customWidth="1"/>
    <col min="15901" max="15901" width="2.42578125" style="402" hidden="1" customWidth="1"/>
    <col min="15902" max="15905" width="2.5703125" style="402" hidden="1" customWidth="1"/>
    <col min="15906" max="15911" width="2.42578125" style="402" hidden="1" customWidth="1"/>
    <col min="15912" max="15912" width="1.5703125" style="402" hidden="1" customWidth="1"/>
    <col min="15913" max="16128" width="2.5703125" style="402" hidden="1"/>
    <col min="16129" max="16129" width="1.5703125" style="402" hidden="1" customWidth="1"/>
    <col min="16130" max="16130" width="0.85546875" style="402" hidden="1" customWidth="1"/>
    <col min="16131" max="16146" width="2.5703125" style="402" hidden="1" customWidth="1"/>
    <col min="16147" max="16147" width="4" style="402" hidden="1" customWidth="1"/>
    <col min="16148" max="16151" width="2.5703125" style="402" hidden="1" customWidth="1"/>
    <col min="16152" max="16152" width="2.42578125" style="402" hidden="1" customWidth="1"/>
    <col min="16153" max="16156" width="2.5703125" style="402" hidden="1" customWidth="1"/>
    <col min="16157" max="16157" width="2.42578125" style="402" hidden="1" customWidth="1"/>
    <col min="16158" max="16161" width="2.5703125" style="402" hidden="1" customWidth="1"/>
    <col min="16162" max="16167" width="2.42578125" style="402" hidden="1" customWidth="1"/>
    <col min="16168" max="16168" width="1.5703125" style="402" hidden="1" customWidth="1"/>
    <col min="16169" max="16384" width="2.5703125" style="402" hidden="1"/>
  </cols>
  <sheetData>
    <row r="1" spans="1:40" ht="12.95" customHeight="1">
      <c r="A1" s="2355" t="s">
        <v>1280</v>
      </c>
      <c r="B1" s="2355"/>
      <c r="C1" s="2355"/>
      <c r="D1" s="2355"/>
      <c r="E1" s="2355"/>
      <c r="F1" s="2355"/>
      <c r="G1" s="2355"/>
      <c r="H1" s="2355"/>
      <c r="I1" s="2355"/>
      <c r="J1" s="2355"/>
      <c r="K1" s="2355"/>
      <c r="L1" s="2355"/>
      <c r="M1" s="2355"/>
      <c r="N1" s="2355"/>
      <c r="O1" s="2355"/>
      <c r="P1" s="2355"/>
      <c r="Q1" s="2355"/>
      <c r="R1" s="2355"/>
      <c r="S1" s="2355"/>
      <c r="T1" s="2355"/>
      <c r="U1" s="2355"/>
      <c r="V1" s="2355"/>
      <c r="W1" s="2355"/>
      <c r="X1" s="2355"/>
      <c r="Y1" s="2355"/>
      <c r="Z1" s="2355"/>
      <c r="AA1" s="2355"/>
      <c r="AB1" s="2355"/>
      <c r="AC1" s="2355"/>
      <c r="AD1" s="2355"/>
      <c r="AE1" s="2355"/>
      <c r="AF1" s="2355"/>
      <c r="AG1" s="2355"/>
      <c r="AH1" s="2355"/>
      <c r="AI1" s="2355"/>
      <c r="AJ1" s="2355"/>
      <c r="AK1" s="2355"/>
      <c r="AL1" s="2355"/>
      <c r="AM1" s="2355"/>
      <c r="AN1" s="2355"/>
    </row>
    <row r="2" spans="1:40" ht="12.95" customHeight="1" thickBot="1">
      <c r="A2" s="2356"/>
      <c r="B2" s="2356"/>
      <c r="C2" s="2356"/>
      <c r="D2" s="2356"/>
      <c r="E2" s="2356"/>
      <c r="F2" s="2356"/>
      <c r="G2" s="2356"/>
      <c r="H2" s="2356"/>
      <c r="I2" s="2356"/>
      <c r="J2" s="2356"/>
      <c r="K2" s="2356"/>
      <c r="L2" s="2356"/>
      <c r="M2" s="2356"/>
      <c r="N2" s="2356"/>
      <c r="O2" s="2356"/>
      <c r="P2" s="2356"/>
      <c r="Q2" s="2356"/>
      <c r="R2" s="2356"/>
      <c r="S2" s="2356"/>
      <c r="T2" s="2356"/>
      <c r="U2" s="2356"/>
      <c r="V2" s="2356"/>
      <c r="W2" s="2356"/>
      <c r="X2" s="2356"/>
      <c r="Y2" s="2356"/>
      <c r="Z2" s="2356"/>
      <c r="AA2" s="2356"/>
      <c r="AB2" s="2356"/>
      <c r="AC2" s="2356"/>
      <c r="AD2" s="2356"/>
      <c r="AE2" s="2356"/>
      <c r="AF2" s="2356"/>
      <c r="AG2" s="2356"/>
      <c r="AH2" s="2356"/>
      <c r="AI2" s="2356"/>
      <c r="AJ2" s="2356"/>
      <c r="AK2" s="2356"/>
      <c r="AL2" s="2356"/>
      <c r="AM2" s="2356"/>
      <c r="AN2" s="2356"/>
    </row>
    <row r="3" spans="1:40" ht="12.95" customHeight="1" thickTop="1">
      <c r="A3" s="402" t="str">
        <f>+A1</f>
        <v>V. BASIS AND CREDITS : 4% FEDERAL AND STATE CREDIT</v>
      </c>
      <c r="C3" s="101"/>
      <c r="D3" s="101"/>
      <c r="E3" s="101"/>
      <c r="F3" s="101"/>
      <c r="G3" s="101"/>
      <c r="H3" s="101"/>
      <c r="I3" s="101"/>
      <c r="J3" s="403"/>
      <c r="K3" s="403"/>
      <c r="L3" s="403"/>
      <c r="M3" s="403"/>
      <c r="N3" s="403"/>
      <c r="O3" s="403"/>
      <c r="P3" s="403"/>
      <c r="Q3" s="403"/>
      <c r="R3" s="403"/>
      <c r="S3" s="403"/>
      <c r="T3" s="403"/>
      <c r="U3" s="403"/>
      <c r="V3" s="403"/>
      <c r="W3" s="403"/>
      <c r="X3" s="403"/>
      <c r="Y3" s="403"/>
      <c r="Z3" s="403"/>
      <c r="AA3" s="403"/>
      <c r="AB3" s="403"/>
      <c r="AC3" s="403"/>
      <c r="AD3" s="403"/>
      <c r="AE3" s="403"/>
      <c r="AF3" s="403"/>
      <c r="AG3" s="403"/>
      <c r="AH3" s="403"/>
      <c r="AI3" s="403"/>
      <c r="AJ3" s="403"/>
      <c r="AK3" s="403"/>
      <c r="AL3" s="403"/>
      <c r="AM3" s="403"/>
      <c r="AN3" s="403"/>
    </row>
    <row r="4" spans="1:40" ht="12.95" customHeight="1">
      <c r="A4" s="404"/>
    </row>
    <row r="5" spans="1:40" ht="12.95" customHeight="1">
      <c r="A5" s="404" t="s">
        <v>319</v>
      </c>
      <c r="C5" s="404" t="s">
        <v>122</v>
      </c>
      <c r="F5" s="404"/>
    </row>
    <row r="6" spans="1:40" ht="12.95" customHeight="1">
      <c r="A6" s="404"/>
      <c r="C6" s="402" t="s">
        <v>1238</v>
      </c>
    </row>
    <row r="7" spans="1:40" ht="12.95" customHeight="1">
      <c r="B7" s="405"/>
      <c r="C7" s="406"/>
      <c r="D7" s="406"/>
      <c r="E7" s="406"/>
      <c r="F7" s="406"/>
      <c r="G7" s="406"/>
      <c r="H7" s="406"/>
      <c r="I7" s="406"/>
      <c r="J7" s="406"/>
      <c r="K7" s="406"/>
      <c r="L7" s="406"/>
      <c r="M7" s="406"/>
      <c r="N7" s="406"/>
      <c r="O7" s="406"/>
      <c r="P7" s="406"/>
      <c r="Q7" s="406"/>
      <c r="R7" s="406"/>
      <c r="S7" s="406"/>
      <c r="T7" s="2357" t="str">
        <f xml:space="preserve"> IF(T25=100%,'Sources and Basis Breakdown'!G2,'Sources and Basis Breakdown'!F2)</f>
        <v>30% PVC for New Const/
Rehabilitation
DDA/QCT
Building(s)</v>
      </c>
      <c r="U7" s="2357"/>
      <c r="V7" s="2357"/>
      <c r="W7" s="2357"/>
      <c r="X7" s="2357"/>
      <c r="Y7" s="2357" t="str">
        <f>IF(T25=100%,"",'Sources and Basis Breakdown'!G2)</f>
        <v>30% PVC for New Const/
Rehabilitation
NON-DDA/
NON-QCT Building(s)</v>
      </c>
      <c r="Z7" s="2357"/>
      <c r="AA7" s="2357"/>
      <c r="AB7" s="2357"/>
      <c r="AC7" s="2357"/>
      <c r="AD7" s="2357" t="str">
        <f xml:space="preserve"> IF(T25=100%, 'Sources and Basis Breakdown'!J2,'Sources and Basis Breakdown'!I2)</f>
        <v>30% PVC for Acquisition
DDA/QCT Building(s)</v>
      </c>
      <c r="AE7" s="2357"/>
      <c r="AF7" s="2357"/>
      <c r="AG7" s="2357"/>
      <c r="AH7" s="2357"/>
      <c r="AI7" s="2357" t="str">
        <f>IF(T25=100%,"",'Sources and Basis Breakdown'!J2)</f>
        <v>30% PVC for Acquisition
NON-DDA/
NON-QCT Building(s)</v>
      </c>
      <c r="AJ7" s="2357"/>
      <c r="AK7" s="2357"/>
      <c r="AL7" s="2357"/>
      <c r="AM7" s="2357"/>
    </row>
    <row r="8" spans="1:40" ht="12.95" customHeight="1">
      <c r="B8" s="407"/>
      <c r="T8" s="2357"/>
      <c r="U8" s="2357"/>
      <c r="V8" s="2357"/>
      <c r="W8" s="2357"/>
      <c r="X8" s="2357"/>
      <c r="Y8" s="2357"/>
      <c r="Z8" s="2357"/>
      <c r="AA8" s="2357"/>
      <c r="AB8" s="2357"/>
      <c r="AC8" s="2357"/>
      <c r="AD8" s="2357"/>
      <c r="AE8" s="2357"/>
      <c r="AF8" s="2357"/>
      <c r="AG8" s="2357"/>
      <c r="AH8" s="2357"/>
      <c r="AI8" s="2357"/>
      <c r="AJ8" s="2357"/>
      <c r="AK8" s="2357"/>
      <c r="AL8" s="2357"/>
      <c r="AM8" s="2357"/>
    </row>
    <row r="9" spans="1:40" ht="12.95" customHeight="1">
      <c r="B9" s="407"/>
      <c r="T9" s="2357"/>
      <c r="U9" s="2357"/>
      <c r="V9" s="2357"/>
      <c r="W9" s="2357"/>
      <c r="X9" s="2357"/>
      <c r="Y9" s="2357"/>
      <c r="Z9" s="2357"/>
      <c r="AA9" s="2357"/>
      <c r="AB9" s="2357"/>
      <c r="AC9" s="2357"/>
      <c r="AD9" s="2357"/>
      <c r="AE9" s="2357"/>
      <c r="AF9" s="2357"/>
      <c r="AG9" s="2357"/>
      <c r="AH9" s="2357"/>
      <c r="AI9" s="2357"/>
      <c r="AJ9" s="2357"/>
      <c r="AK9" s="2357"/>
      <c r="AL9" s="2357"/>
      <c r="AM9" s="2357"/>
    </row>
    <row r="10" spans="1:40" ht="12.95" customHeight="1">
      <c r="B10" s="408"/>
      <c r="C10" s="409"/>
      <c r="D10" s="409"/>
      <c r="E10" s="409"/>
      <c r="F10" s="409"/>
      <c r="G10" s="409"/>
      <c r="H10" s="409"/>
      <c r="I10" s="409"/>
      <c r="J10" s="409"/>
      <c r="K10" s="409"/>
      <c r="L10" s="409"/>
      <c r="M10" s="409"/>
      <c r="N10" s="409"/>
      <c r="O10" s="409"/>
      <c r="P10" s="409"/>
      <c r="Q10" s="409"/>
      <c r="R10" s="409"/>
      <c r="S10" s="409"/>
      <c r="T10" s="2357"/>
      <c r="U10" s="2357"/>
      <c r="V10" s="2357"/>
      <c r="W10" s="2357"/>
      <c r="X10" s="2357"/>
      <c r="Y10" s="2357"/>
      <c r="Z10" s="2357"/>
      <c r="AA10" s="2357"/>
      <c r="AB10" s="2357"/>
      <c r="AC10" s="2357"/>
      <c r="AD10" s="2357"/>
      <c r="AE10" s="2357"/>
      <c r="AF10" s="2357"/>
      <c r="AG10" s="2357"/>
      <c r="AH10" s="2357"/>
      <c r="AI10" s="2357"/>
      <c r="AJ10" s="2357"/>
      <c r="AK10" s="2357"/>
      <c r="AL10" s="2357"/>
      <c r="AM10" s="2357"/>
    </row>
    <row r="11" spans="1:40" ht="12.95" customHeight="1">
      <c r="B11" s="2336" t="s">
        <v>375</v>
      </c>
      <c r="C11" s="2337"/>
      <c r="D11" s="2337"/>
      <c r="E11" s="2337"/>
      <c r="F11" s="2337"/>
      <c r="G11" s="2337"/>
      <c r="H11" s="2337"/>
      <c r="I11" s="2337"/>
      <c r="J11" s="2337"/>
      <c r="K11" s="2337"/>
      <c r="L11" s="2337"/>
      <c r="M11" s="2337"/>
      <c r="N11" s="2337"/>
      <c r="O11" s="2337"/>
      <c r="P11" s="2337"/>
      <c r="Q11" s="2337"/>
      <c r="R11" s="2337"/>
      <c r="S11" s="2338"/>
      <c r="T11" s="2358">
        <f>IF('Sources and Basis Breakdown'!F107=0,'Sources and Basis Breakdown'!E107,'Sources and Basis Breakdown'!F107)</f>
        <v>30927429</v>
      </c>
      <c r="U11" s="2359"/>
      <c r="V11" s="2359"/>
      <c r="W11" s="2359"/>
      <c r="X11" s="2359"/>
      <c r="Y11" s="2358">
        <f>IF(Y7="",0,IF('Sources and Basis Breakdown'!G107+'Sources and Basis Breakdown'!F107='Sources and Basis Breakdown'!E107,'Sources and Basis Breakdown'!G107,0))</f>
        <v>0</v>
      </c>
      <c r="Z11" s="2359"/>
      <c r="AA11" s="2359"/>
      <c r="AB11" s="2359"/>
      <c r="AC11" s="2359"/>
      <c r="AD11" s="2359">
        <f>IF('Sources and Basis Breakdown'!I107=0,'Sources and Basis Breakdown'!H107,'Sources and Basis Breakdown'!I107)</f>
        <v>0</v>
      </c>
      <c r="AE11" s="2359"/>
      <c r="AF11" s="2359"/>
      <c r="AG11" s="2359"/>
      <c r="AH11" s="2359"/>
      <c r="AI11" s="2359">
        <f>IF(Y7="",0,IF('Sources and Basis Breakdown'!I107+'Sources and Basis Breakdown'!J107='Sources and Basis Breakdown'!H107,'Sources and Basis Breakdown'!J107,0))</f>
        <v>0</v>
      </c>
      <c r="AJ11" s="2359"/>
      <c r="AK11" s="2359"/>
      <c r="AL11" s="2359"/>
      <c r="AM11" s="2359"/>
    </row>
    <row r="12" spans="1:40" ht="12.95" customHeight="1">
      <c r="B12" s="2351" t="s">
        <v>497</v>
      </c>
      <c r="C12" s="1821"/>
      <c r="D12" s="1821"/>
      <c r="E12" s="1821"/>
      <c r="F12" s="1821"/>
      <c r="G12" s="1821"/>
      <c r="H12" s="1821"/>
      <c r="I12" s="1821"/>
      <c r="J12" s="1821"/>
      <c r="K12" s="1821"/>
      <c r="L12" s="1821"/>
      <c r="M12" s="1821"/>
      <c r="N12" s="1821"/>
      <c r="O12" s="1821"/>
      <c r="P12" s="1821"/>
      <c r="Q12" s="1821"/>
      <c r="R12" s="1821"/>
      <c r="S12" s="2352"/>
      <c r="T12" s="2324"/>
      <c r="U12" s="2325"/>
      <c r="V12" s="2325"/>
      <c r="W12" s="2325"/>
      <c r="X12" s="2326"/>
      <c r="Y12" s="2324"/>
      <c r="Z12" s="2325"/>
      <c r="AA12" s="2325"/>
      <c r="AB12" s="2325"/>
      <c r="AC12" s="2326"/>
      <c r="AD12" s="2324"/>
      <c r="AE12" s="2325"/>
      <c r="AF12" s="2325"/>
      <c r="AG12" s="2325"/>
      <c r="AH12" s="2326"/>
      <c r="AI12" s="2324"/>
      <c r="AJ12" s="2325"/>
      <c r="AK12" s="2325"/>
      <c r="AL12" s="2325"/>
      <c r="AM12" s="2326"/>
    </row>
    <row r="13" spans="1:40" ht="12.95" customHeight="1">
      <c r="B13" s="435"/>
      <c r="C13" s="2353" t="s">
        <v>498</v>
      </c>
      <c r="D13" s="2353"/>
      <c r="E13" s="2353"/>
      <c r="F13" s="2353"/>
      <c r="G13" s="2353"/>
      <c r="H13" s="2353"/>
      <c r="I13" s="2353"/>
      <c r="J13" s="2353"/>
      <c r="K13" s="2353"/>
      <c r="L13" s="2353"/>
      <c r="M13" s="2353"/>
      <c r="N13" s="2353"/>
      <c r="O13" s="2353"/>
      <c r="P13" s="2353"/>
      <c r="Q13" s="2353"/>
      <c r="R13" s="2353"/>
      <c r="S13" s="2354"/>
      <c r="T13" s="2360"/>
      <c r="U13" s="2361"/>
      <c r="V13" s="2361"/>
      <c r="W13" s="2361"/>
      <c r="X13" s="2361"/>
      <c r="Y13" s="2360"/>
      <c r="Z13" s="2361"/>
      <c r="AA13" s="2361"/>
      <c r="AB13" s="2361"/>
      <c r="AC13" s="2361"/>
      <c r="AD13" s="2361"/>
      <c r="AE13" s="2361"/>
      <c r="AF13" s="2361"/>
      <c r="AG13" s="2361"/>
      <c r="AH13" s="2361"/>
      <c r="AI13" s="2361"/>
      <c r="AJ13" s="2361"/>
      <c r="AK13" s="2361"/>
      <c r="AL13" s="2361"/>
      <c r="AM13" s="2361"/>
    </row>
    <row r="14" spans="1:40" ht="12.95" customHeight="1">
      <c r="B14" s="435"/>
      <c r="C14" s="2353" t="s">
        <v>499</v>
      </c>
      <c r="D14" s="2353"/>
      <c r="E14" s="2353"/>
      <c r="F14" s="2353"/>
      <c r="G14" s="2353"/>
      <c r="H14" s="2353"/>
      <c r="I14" s="2353"/>
      <c r="J14" s="2353"/>
      <c r="K14" s="2353"/>
      <c r="L14" s="2353"/>
      <c r="M14" s="2353"/>
      <c r="N14" s="2353"/>
      <c r="O14" s="2353"/>
      <c r="P14" s="2353"/>
      <c r="Q14" s="2353"/>
      <c r="R14" s="2353"/>
      <c r="S14" s="2354"/>
      <c r="T14" s="2327"/>
      <c r="U14" s="2328"/>
      <c r="V14" s="2328"/>
      <c r="W14" s="2328"/>
      <c r="X14" s="2328"/>
      <c r="Y14" s="2327"/>
      <c r="Z14" s="2328"/>
      <c r="AA14" s="2328"/>
      <c r="AB14" s="2328"/>
      <c r="AC14" s="2328"/>
      <c r="AD14" s="2328"/>
      <c r="AE14" s="2328"/>
      <c r="AF14" s="2328"/>
      <c r="AG14" s="2328"/>
      <c r="AH14" s="2328"/>
      <c r="AI14" s="2328"/>
      <c r="AJ14" s="2328"/>
      <c r="AK14" s="2328"/>
      <c r="AL14" s="2328"/>
      <c r="AM14" s="2328"/>
    </row>
    <row r="15" spans="1:40" ht="12.95" customHeight="1">
      <c r="B15" s="435"/>
      <c r="C15" s="2353" t="s">
        <v>500</v>
      </c>
      <c r="D15" s="2353"/>
      <c r="E15" s="2353"/>
      <c r="F15" s="2353"/>
      <c r="G15" s="2353"/>
      <c r="H15" s="2353"/>
      <c r="I15" s="2353"/>
      <c r="J15" s="2353"/>
      <c r="K15" s="2353"/>
      <c r="L15" s="2353"/>
      <c r="M15" s="2353"/>
      <c r="N15" s="2353"/>
      <c r="O15" s="2353"/>
      <c r="P15" s="2353"/>
      <c r="Q15" s="2353"/>
      <c r="R15" s="2353"/>
      <c r="S15" s="2354"/>
      <c r="T15" s="2327"/>
      <c r="U15" s="2328"/>
      <c r="V15" s="2328"/>
      <c r="W15" s="2328"/>
      <c r="X15" s="2328"/>
      <c r="Y15" s="2327"/>
      <c r="Z15" s="2328"/>
      <c r="AA15" s="2328"/>
      <c r="AB15" s="2328"/>
      <c r="AC15" s="2328"/>
      <c r="AD15" s="2328"/>
      <c r="AE15" s="2328"/>
      <c r="AF15" s="2328"/>
      <c r="AG15" s="2328"/>
      <c r="AH15" s="2328"/>
      <c r="AI15" s="2328"/>
      <c r="AJ15" s="2328"/>
      <c r="AK15" s="2328"/>
      <c r="AL15" s="2328"/>
      <c r="AM15" s="2328"/>
    </row>
    <row r="16" spans="1:40" ht="12.95" customHeight="1">
      <c r="B16" s="435"/>
      <c r="C16" s="2353" t="s">
        <v>805</v>
      </c>
      <c r="D16" s="2353"/>
      <c r="E16" s="2353"/>
      <c r="F16" s="2353"/>
      <c r="G16" s="2353"/>
      <c r="H16" s="2353"/>
      <c r="I16" s="2353"/>
      <c r="J16" s="2353"/>
      <c r="K16" s="2353"/>
      <c r="L16" s="2353"/>
      <c r="M16" s="2353"/>
      <c r="N16" s="2353"/>
      <c r="O16" s="2353"/>
      <c r="P16" s="2353"/>
      <c r="Q16" s="2353"/>
      <c r="R16" s="2353"/>
      <c r="S16" s="2354"/>
      <c r="T16" s="2327"/>
      <c r="U16" s="2328"/>
      <c r="V16" s="2328"/>
      <c r="W16" s="2328"/>
      <c r="X16" s="2328"/>
      <c r="Y16" s="2327"/>
      <c r="Z16" s="2328"/>
      <c r="AA16" s="2328"/>
      <c r="AB16" s="2328"/>
      <c r="AC16" s="2328"/>
      <c r="AD16" s="2328"/>
      <c r="AE16" s="2328"/>
      <c r="AF16" s="2328"/>
      <c r="AG16" s="2328"/>
      <c r="AH16" s="2328"/>
      <c r="AI16" s="2328"/>
      <c r="AJ16" s="2328"/>
      <c r="AK16" s="2328"/>
      <c r="AL16" s="2328"/>
      <c r="AM16" s="2328"/>
    </row>
    <row r="17" spans="1:40" ht="12.95" customHeight="1">
      <c r="B17" s="435"/>
      <c r="C17" s="2353" t="s">
        <v>501</v>
      </c>
      <c r="D17" s="2353"/>
      <c r="E17" s="2353"/>
      <c r="F17" s="2353"/>
      <c r="G17" s="2353"/>
      <c r="H17" s="2353"/>
      <c r="I17" s="2353"/>
      <c r="J17" s="2353"/>
      <c r="K17" s="2353"/>
      <c r="L17" s="2353"/>
      <c r="M17" s="2353"/>
      <c r="N17" s="2353"/>
      <c r="O17" s="2353"/>
      <c r="P17" s="2353"/>
      <c r="Q17" s="2353"/>
      <c r="R17" s="2353"/>
      <c r="S17" s="2354"/>
      <c r="T17" s="2327"/>
      <c r="U17" s="2328"/>
      <c r="V17" s="2328"/>
      <c r="W17" s="2328"/>
      <c r="X17" s="2328"/>
      <c r="Y17" s="2327"/>
      <c r="Z17" s="2328"/>
      <c r="AA17" s="2328"/>
      <c r="AB17" s="2328"/>
      <c r="AC17" s="2328"/>
      <c r="AD17" s="2328"/>
      <c r="AE17" s="2328"/>
      <c r="AF17" s="2328"/>
      <c r="AG17" s="2328"/>
      <c r="AH17" s="2328"/>
      <c r="AI17" s="2328"/>
      <c r="AJ17" s="2328"/>
      <c r="AK17" s="2328"/>
      <c r="AL17" s="2328"/>
      <c r="AM17" s="2328"/>
    </row>
    <row r="18" spans="1:40" ht="12.95" customHeight="1">
      <c r="A18"/>
      <c r="B18" s="1144"/>
      <c r="C18" s="1739" t="s">
        <v>960</v>
      </c>
      <c r="D18" s="1739"/>
      <c r="E18" s="1739"/>
      <c r="F18" s="1739"/>
      <c r="G18" s="1739"/>
      <c r="H18" s="1739"/>
      <c r="I18" s="1739"/>
      <c r="J18" s="1739"/>
      <c r="K18" s="1739"/>
      <c r="L18" s="1739"/>
      <c r="M18" s="1739"/>
      <c r="N18" s="1739"/>
      <c r="O18" s="1739"/>
      <c r="P18" s="1739"/>
      <c r="Q18" s="1739"/>
      <c r="R18" s="1739"/>
      <c r="S18" s="1740"/>
      <c r="T18" s="2327"/>
      <c r="U18" s="2328"/>
      <c r="V18" s="2328"/>
      <c r="W18" s="2328"/>
      <c r="X18" s="2328"/>
      <c r="Y18" s="2327"/>
      <c r="Z18" s="2328"/>
      <c r="AA18" s="2328"/>
      <c r="AB18" s="2328"/>
      <c r="AC18" s="2328"/>
      <c r="AD18" s="2328"/>
      <c r="AE18" s="2328"/>
      <c r="AF18" s="2328"/>
      <c r="AG18" s="2328"/>
      <c r="AH18" s="2328"/>
      <c r="AI18" s="2328"/>
      <c r="AJ18" s="2328"/>
      <c r="AK18" s="2328"/>
      <c r="AL18" s="2328"/>
      <c r="AM18" s="2328"/>
    </row>
    <row r="19" spans="1:40" ht="12.95" customHeight="1">
      <c r="B19" s="1144"/>
      <c r="C19" s="1739" t="s">
        <v>960</v>
      </c>
      <c r="D19" s="1739"/>
      <c r="E19" s="1739"/>
      <c r="F19" s="1739"/>
      <c r="G19" s="1739"/>
      <c r="H19" s="1739"/>
      <c r="I19" s="1739"/>
      <c r="J19" s="1739"/>
      <c r="K19" s="1739"/>
      <c r="L19" s="1739"/>
      <c r="M19" s="1739"/>
      <c r="N19" s="1739"/>
      <c r="O19" s="1739"/>
      <c r="P19" s="1739"/>
      <c r="Q19" s="1739"/>
      <c r="R19" s="1739"/>
      <c r="S19" s="1740"/>
      <c r="T19" s="2327"/>
      <c r="U19" s="2328"/>
      <c r="V19" s="2328"/>
      <c r="W19" s="2328"/>
      <c r="X19" s="2328"/>
      <c r="Y19" s="2327"/>
      <c r="Z19" s="2328"/>
      <c r="AA19" s="2328"/>
      <c r="AB19" s="2328"/>
      <c r="AC19" s="2328"/>
      <c r="AD19" s="2328"/>
      <c r="AE19" s="2328"/>
      <c r="AF19" s="2328"/>
      <c r="AG19" s="2328"/>
      <c r="AH19" s="2328"/>
      <c r="AI19" s="2328"/>
      <c r="AJ19" s="2328"/>
      <c r="AK19" s="2328"/>
      <c r="AL19" s="2328"/>
      <c r="AM19" s="2328"/>
    </row>
    <row r="20" spans="1:40" ht="12.95" customHeight="1">
      <c r="B20" s="2336" t="s">
        <v>502</v>
      </c>
      <c r="C20" s="2337"/>
      <c r="D20" s="2337"/>
      <c r="E20" s="2337"/>
      <c r="F20" s="2337"/>
      <c r="G20" s="2337"/>
      <c r="H20" s="2337"/>
      <c r="I20" s="2337"/>
      <c r="J20" s="2337"/>
      <c r="K20" s="2337"/>
      <c r="L20" s="2337"/>
      <c r="M20" s="2337"/>
      <c r="N20" s="2337"/>
      <c r="O20" s="2337"/>
      <c r="P20" s="2337"/>
      <c r="Q20" s="2337"/>
      <c r="R20" s="2337"/>
      <c r="S20" s="2338"/>
      <c r="T20" s="2329">
        <f>SUM(T13:X19)</f>
        <v>0</v>
      </c>
      <c r="U20" s="2330"/>
      <c r="V20" s="2330"/>
      <c r="W20" s="2330"/>
      <c r="X20" s="2330"/>
      <c r="Y20" s="2329">
        <f>SUM(Y13:AC19)</f>
        <v>0</v>
      </c>
      <c r="Z20" s="2330"/>
      <c r="AA20" s="2330"/>
      <c r="AB20" s="2330"/>
      <c r="AC20" s="2330"/>
      <c r="AD20" s="2331">
        <f>SUM(AD13:AH19)</f>
        <v>0</v>
      </c>
      <c r="AE20" s="2332"/>
      <c r="AF20" s="2332"/>
      <c r="AG20" s="2332"/>
      <c r="AH20" s="2329"/>
      <c r="AI20" s="2331">
        <f>SUM(AI13:AM19)</f>
        <v>0</v>
      </c>
      <c r="AJ20" s="2332"/>
      <c r="AK20" s="2332"/>
      <c r="AL20" s="2332"/>
      <c r="AM20" s="2329"/>
    </row>
    <row r="21" spans="1:40" ht="12.95" customHeight="1">
      <c r="B21" s="2336" t="s">
        <v>1263</v>
      </c>
      <c r="C21" s="2337"/>
      <c r="D21" s="2337"/>
      <c r="E21" s="2337"/>
      <c r="F21" s="2337"/>
      <c r="G21" s="2337"/>
      <c r="H21" s="2337"/>
      <c r="I21" s="2337"/>
      <c r="J21" s="2337"/>
      <c r="K21" s="2337"/>
      <c r="L21" s="2337"/>
      <c r="M21" s="2337"/>
      <c r="N21" s="2337"/>
      <c r="O21" s="2337"/>
      <c r="P21" s="2337"/>
      <c r="Q21" s="2337"/>
      <c r="R21" s="2337"/>
      <c r="S21" s="2338"/>
      <c r="T21" s="2327"/>
      <c r="U21" s="2328"/>
      <c r="V21" s="2328"/>
      <c r="W21" s="2328"/>
      <c r="X21" s="2328"/>
      <c r="Y21" s="2327"/>
      <c r="Z21" s="2328"/>
      <c r="AA21" s="2328"/>
      <c r="AB21" s="2328"/>
      <c r="AC21" s="2328"/>
      <c r="AD21" s="2324"/>
      <c r="AE21" s="2325"/>
      <c r="AF21" s="2325"/>
      <c r="AG21" s="2325"/>
      <c r="AH21" s="2326"/>
      <c r="AI21" s="2324"/>
      <c r="AJ21" s="2325"/>
      <c r="AK21" s="2325"/>
      <c r="AL21" s="2325"/>
      <c r="AM21" s="2326"/>
    </row>
    <row r="22" spans="1:40" ht="12.95" customHeight="1">
      <c r="B22" s="2336" t="s">
        <v>503</v>
      </c>
      <c r="C22" s="2337"/>
      <c r="D22" s="2337"/>
      <c r="E22" s="2337"/>
      <c r="F22" s="2337"/>
      <c r="G22" s="2337"/>
      <c r="H22" s="2337"/>
      <c r="I22" s="2337"/>
      <c r="J22" s="2337"/>
      <c r="K22" s="2337"/>
      <c r="L22" s="2337"/>
      <c r="M22" s="2337"/>
      <c r="N22" s="2337"/>
      <c r="O22" s="2337"/>
      <c r="P22" s="2337"/>
      <c r="Q22" s="2337"/>
      <c r="R22" s="2337"/>
      <c r="S22" s="2338"/>
      <c r="T22" s="2362">
        <f>(ABS(T20)+ABS(T21))*-1</f>
        <v>0</v>
      </c>
      <c r="U22" s="2363"/>
      <c r="V22" s="2363"/>
      <c r="W22" s="2363"/>
      <c r="X22" s="2363"/>
      <c r="Y22" s="2362">
        <f>(Y20+Y21)*-1</f>
        <v>0</v>
      </c>
      <c r="Z22" s="2363"/>
      <c r="AA22" s="2363"/>
      <c r="AB22" s="2363"/>
      <c r="AC22" s="2363"/>
      <c r="AD22" s="2364">
        <f>(AD20)*-1</f>
        <v>0</v>
      </c>
      <c r="AE22" s="2365"/>
      <c r="AF22" s="2365"/>
      <c r="AG22" s="2365"/>
      <c r="AH22" s="2362"/>
      <c r="AI22" s="2364">
        <f>(AI20)*-1</f>
        <v>0</v>
      </c>
      <c r="AJ22" s="2365"/>
      <c r="AK22" s="2365"/>
      <c r="AL22" s="2365"/>
      <c r="AM22" s="2362"/>
    </row>
    <row r="23" spans="1:40" ht="12.95" customHeight="1">
      <c r="B23" s="2336" t="s">
        <v>504</v>
      </c>
      <c r="C23" s="2337"/>
      <c r="D23" s="2337"/>
      <c r="E23" s="2337"/>
      <c r="F23" s="2337"/>
      <c r="G23" s="2337"/>
      <c r="H23" s="2337"/>
      <c r="I23" s="2337"/>
      <c r="J23" s="2337"/>
      <c r="K23" s="2337"/>
      <c r="L23" s="2337"/>
      <c r="M23" s="2337"/>
      <c r="N23" s="2337"/>
      <c r="O23" s="2337"/>
      <c r="P23" s="2337"/>
      <c r="Q23" s="2337"/>
      <c r="R23" s="2337"/>
      <c r="S23" s="2338"/>
      <c r="T23" s="2329">
        <f>T11+T22</f>
        <v>30927429</v>
      </c>
      <c r="U23" s="2330"/>
      <c r="V23" s="2330"/>
      <c r="W23" s="2330"/>
      <c r="X23" s="2330"/>
      <c r="Y23" s="2329">
        <f>Y11+Y22</f>
        <v>0</v>
      </c>
      <c r="Z23" s="2330"/>
      <c r="AA23" s="2330"/>
      <c r="AB23" s="2330"/>
      <c r="AC23" s="2330"/>
      <c r="AD23" s="2329">
        <f>AD11+AD22</f>
        <v>0</v>
      </c>
      <c r="AE23" s="2330"/>
      <c r="AF23" s="2330"/>
      <c r="AG23" s="2330"/>
      <c r="AH23" s="2330"/>
      <c r="AI23" s="2329">
        <f>AI11+AI22</f>
        <v>0</v>
      </c>
      <c r="AJ23" s="2330"/>
      <c r="AK23" s="2330"/>
      <c r="AL23" s="2330"/>
      <c r="AM23" s="2330"/>
    </row>
    <row r="24" spans="1:40" ht="12.95" customHeight="1">
      <c r="B24" s="2336" t="s">
        <v>961</v>
      </c>
      <c r="C24" s="2337"/>
      <c r="D24" s="2337"/>
      <c r="E24" s="2337"/>
      <c r="F24" s="2337"/>
      <c r="G24" s="2337"/>
      <c r="H24" s="2337"/>
      <c r="I24" s="2337"/>
      <c r="J24" s="2337"/>
      <c r="K24" s="2337"/>
      <c r="L24" s="2337"/>
      <c r="M24" s="2337"/>
      <c r="N24" s="2337"/>
      <c r="O24" s="2337"/>
      <c r="P24" s="2337"/>
      <c r="Q24" s="2337"/>
      <c r="R24" s="2337"/>
      <c r="S24" s="2338"/>
      <c r="T24" s="2331">
        <f>Application!AJ1062</f>
        <v>47871455.519999996</v>
      </c>
      <c r="U24" s="2332"/>
      <c r="V24" s="2332"/>
      <c r="W24" s="2332"/>
      <c r="X24" s="2332"/>
      <c r="Y24" s="2332"/>
      <c r="Z24" s="2332"/>
      <c r="AA24" s="2332"/>
      <c r="AB24" s="2332"/>
      <c r="AC24" s="2332"/>
      <c r="AD24" s="2332"/>
      <c r="AE24" s="2332"/>
      <c r="AF24" s="2332"/>
      <c r="AG24" s="2332"/>
      <c r="AH24" s="2332"/>
      <c r="AI24" s="2332"/>
      <c r="AJ24" s="2332"/>
      <c r="AK24" s="2332"/>
      <c r="AL24" s="2332"/>
      <c r="AM24" s="2329"/>
    </row>
    <row r="25" spans="1:40" ht="12.95" customHeight="1">
      <c r="B25" s="2340" t="s">
        <v>1264</v>
      </c>
      <c r="C25" s="2341"/>
      <c r="D25" s="2341"/>
      <c r="E25" s="2341"/>
      <c r="F25" s="2341"/>
      <c r="G25" s="2341"/>
      <c r="H25" s="2341"/>
      <c r="I25" s="2341"/>
      <c r="J25" s="2341"/>
      <c r="K25" s="2341"/>
      <c r="L25" s="2341"/>
      <c r="M25" s="2341"/>
      <c r="N25" s="2341"/>
      <c r="O25" s="2341"/>
      <c r="P25" s="2341"/>
      <c r="Q25" s="2341"/>
      <c r="R25" s="2341"/>
      <c r="S25" s="2342"/>
      <c r="T25" s="2366">
        <f>IF(OR(Application!T196="yes",Application!T195="yes"),1.3,1)</f>
        <v>1.3</v>
      </c>
      <c r="U25" s="2367"/>
      <c r="V25" s="2367"/>
      <c r="W25" s="2367"/>
      <c r="X25" s="2367"/>
      <c r="Y25" s="2366">
        <v>1</v>
      </c>
      <c r="Z25" s="2367"/>
      <c r="AA25" s="2367"/>
      <c r="AB25" s="2367"/>
      <c r="AC25" s="2367"/>
      <c r="AD25" s="2366">
        <v>1</v>
      </c>
      <c r="AE25" s="2367"/>
      <c r="AF25" s="2367"/>
      <c r="AG25" s="2367"/>
      <c r="AH25" s="2368"/>
      <c r="AI25" s="2366">
        <v>1</v>
      </c>
      <c r="AJ25" s="2367"/>
      <c r="AK25" s="2367"/>
      <c r="AL25" s="2367"/>
      <c r="AM25" s="2368"/>
    </row>
    <row r="26" spans="1:40" ht="12.95" customHeight="1">
      <c r="B26" s="2336" t="s">
        <v>505</v>
      </c>
      <c r="C26" s="2337"/>
      <c r="D26" s="2337"/>
      <c r="E26" s="2337"/>
      <c r="F26" s="2337"/>
      <c r="G26" s="2337"/>
      <c r="H26" s="2337"/>
      <c r="I26" s="2337"/>
      <c r="J26" s="2337"/>
      <c r="K26" s="2337"/>
      <c r="L26" s="2337"/>
      <c r="M26" s="2337"/>
      <c r="N26" s="2337"/>
      <c r="O26" s="2337"/>
      <c r="P26" s="2337"/>
      <c r="Q26" s="2337"/>
      <c r="R26" s="2337"/>
      <c r="S26" s="2338"/>
      <c r="T26" s="2329">
        <f>T23*T25</f>
        <v>40205657.700000003</v>
      </c>
      <c r="U26" s="2330"/>
      <c r="V26" s="2330"/>
      <c r="W26" s="2330"/>
      <c r="X26" s="2330"/>
      <c r="Y26" s="2329">
        <f>Y23*Y25</f>
        <v>0</v>
      </c>
      <c r="Z26" s="2330"/>
      <c r="AA26" s="2330"/>
      <c r="AB26" s="2330"/>
      <c r="AC26" s="2330"/>
      <c r="AD26" s="2329">
        <f>AD23*AD25</f>
        <v>0</v>
      </c>
      <c r="AE26" s="2330"/>
      <c r="AF26" s="2330"/>
      <c r="AG26" s="2330"/>
      <c r="AH26" s="2330"/>
      <c r="AI26" s="2329">
        <f>AI23*AI25</f>
        <v>0</v>
      </c>
      <c r="AJ26" s="2330"/>
      <c r="AK26" s="2330"/>
      <c r="AL26" s="2330"/>
      <c r="AM26" s="2330"/>
    </row>
    <row r="27" spans="1:40" ht="12.95" customHeight="1">
      <c r="A27" s="410"/>
      <c r="B27" s="2343" t="s">
        <v>426</v>
      </c>
      <c r="C27" s="2344"/>
      <c r="D27" s="2344"/>
      <c r="E27" s="2344"/>
      <c r="F27" s="2344"/>
      <c r="G27" s="2344"/>
      <c r="H27" s="2344"/>
      <c r="I27" s="2344"/>
      <c r="J27" s="2344"/>
      <c r="K27" s="2344"/>
      <c r="L27" s="2344"/>
      <c r="M27" s="2344"/>
      <c r="N27" s="2344"/>
      <c r="O27" s="2344"/>
      <c r="P27" s="2344"/>
      <c r="Q27" s="2344"/>
      <c r="R27" s="2344"/>
      <c r="S27" s="2345"/>
      <c r="T27" s="2349">
        <f>Application!$AG$454</f>
        <v>1</v>
      </c>
      <c r="U27" s="2350"/>
      <c r="V27" s="2350"/>
      <c r="W27" s="2350"/>
      <c r="X27" s="2350"/>
      <c r="Y27" s="2349">
        <f>Application!$AG$454</f>
        <v>1</v>
      </c>
      <c r="Z27" s="2350"/>
      <c r="AA27" s="2350"/>
      <c r="AB27" s="2350"/>
      <c r="AC27" s="2350"/>
      <c r="AD27" s="2349">
        <f>Application!$AG$454</f>
        <v>1</v>
      </c>
      <c r="AE27" s="2350"/>
      <c r="AF27" s="2350"/>
      <c r="AG27" s="2350"/>
      <c r="AH27" s="2350"/>
      <c r="AI27" s="2349">
        <f>Application!$AG$454</f>
        <v>1</v>
      </c>
      <c r="AJ27" s="2350"/>
      <c r="AK27" s="2350"/>
      <c r="AL27" s="2350"/>
      <c r="AM27" s="2350"/>
    </row>
    <row r="28" spans="1:40" ht="12.95" customHeight="1">
      <c r="A28" s="404"/>
      <c r="B28" s="2336" t="s">
        <v>506</v>
      </c>
      <c r="C28" s="2337"/>
      <c r="D28" s="2337"/>
      <c r="E28" s="2337"/>
      <c r="F28" s="2337"/>
      <c r="G28" s="2337"/>
      <c r="H28" s="2337"/>
      <c r="I28" s="2337"/>
      <c r="J28" s="2337"/>
      <c r="K28" s="2337"/>
      <c r="L28" s="2337"/>
      <c r="M28" s="2337"/>
      <c r="N28" s="2337"/>
      <c r="O28" s="2337"/>
      <c r="P28" s="2337"/>
      <c r="Q28" s="2337"/>
      <c r="R28" s="2337"/>
      <c r="S28" s="2338"/>
      <c r="T28" s="2329">
        <f>IF(ISERROR((T26*T27)),0,(T26*T27))</f>
        <v>40205657.700000003</v>
      </c>
      <c r="U28" s="2330"/>
      <c r="V28" s="2330"/>
      <c r="W28" s="2330"/>
      <c r="X28" s="2330"/>
      <c r="Y28" s="2329">
        <f>IF(ISERROR((Y26*Y27)),0,(Y26*Y27))</f>
        <v>0</v>
      </c>
      <c r="Z28" s="2330"/>
      <c r="AA28" s="2330"/>
      <c r="AB28" s="2330"/>
      <c r="AC28" s="2330"/>
      <c r="AD28" s="2329">
        <f>IF(ISERROR((AD26*AD27)),0,(AD26*AD27))</f>
        <v>0</v>
      </c>
      <c r="AE28" s="2330"/>
      <c r="AF28" s="2330"/>
      <c r="AG28" s="2330"/>
      <c r="AH28" s="2330"/>
      <c r="AI28" s="2329">
        <f>IF(ISERROR((AI26*AI27)),0,(AI26*AI27))</f>
        <v>0</v>
      </c>
      <c r="AJ28" s="2330"/>
      <c r="AK28" s="2330"/>
      <c r="AL28" s="2330"/>
      <c r="AM28" s="2330"/>
    </row>
    <row r="29" spans="1:40" ht="12.95" customHeight="1">
      <c r="B29" s="2336" t="s">
        <v>523</v>
      </c>
      <c r="C29" s="2337"/>
      <c r="D29" s="2337"/>
      <c r="E29" s="2337"/>
      <c r="F29" s="2337"/>
      <c r="G29" s="2337"/>
      <c r="H29" s="2337"/>
      <c r="I29" s="2337"/>
      <c r="J29" s="2337"/>
      <c r="K29" s="2337"/>
      <c r="L29" s="2337"/>
      <c r="M29" s="2337"/>
      <c r="N29" s="2337"/>
      <c r="O29" s="2337"/>
      <c r="P29" s="2337"/>
      <c r="Q29" s="2337"/>
      <c r="R29" s="2337"/>
      <c r="S29" s="2338"/>
      <c r="T29" s="2331">
        <f>T28+Y28+AD28+AI28</f>
        <v>40205657.700000003</v>
      </c>
      <c r="U29" s="2332"/>
      <c r="V29" s="2332"/>
      <c r="W29" s="2332"/>
      <c r="X29" s="2332"/>
      <c r="Y29" s="2332"/>
      <c r="Z29" s="2332"/>
      <c r="AA29" s="2332"/>
      <c r="AB29" s="2332"/>
      <c r="AC29" s="2332"/>
      <c r="AD29" s="2332"/>
      <c r="AE29" s="2332"/>
      <c r="AF29" s="2332"/>
      <c r="AG29" s="2332"/>
      <c r="AH29" s="2332"/>
      <c r="AI29" s="2332"/>
      <c r="AJ29" s="2332"/>
      <c r="AK29" s="2332"/>
      <c r="AL29" s="2332"/>
      <c r="AM29" s="2329"/>
    </row>
    <row r="30" spans="1:40" ht="12.95" customHeight="1">
      <c r="B30" s="2339" t="s">
        <v>1266</v>
      </c>
      <c r="C30" s="2339"/>
      <c r="D30" s="2339"/>
      <c r="E30" s="2339"/>
      <c r="F30" s="2339"/>
      <c r="G30" s="2339"/>
      <c r="H30" s="2339"/>
      <c r="I30" s="2339"/>
      <c r="J30" s="2339"/>
      <c r="K30" s="2339"/>
      <c r="L30" s="2339"/>
      <c r="M30" s="2339"/>
      <c r="N30" s="2339"/>
      <c r="O30" s="2339"/>
      <c r="P30" s="2339"/>
      <c r="Q30" s="2339"/>
      <c r="R30" s="2339"/>
      <c r="S30" s="2339"/>
      <c r="T30" s="2339"/>
      <c r="U30" s="2339"/>
      <c r="V30" s="2339"/>
      <c r="W30" s="2339"/>
      <c r="X30" s="2339"/>
      <c r="Y30" s="2339"/>
      <c r="Z30" s="2339"/>
      <c r="AA30" s="2339"/>
      <c r="AB30" s="2339"/>
      <c r="AC30" s="2339"/>
      <c r="AD30" s="2339"/>
      <c r="AE30" s="2339"/>
      <c r="AF30" s="2339"/>
      <c r="AG30" s="2339"/>
      <c r="AH30" s="2339"/>
      <c r="AI30" s="2339"/>
      <c r="AJ30" s="2339"/>
      <c r="AK30" s="2339"/>
      <c r="AL30" s="2339"/>
      <c r="AM30" s="2339"/>
    </row>
    <row r="31" spans="1:40" ht="12.95" customHeight="1">
      <c r="B31" s="2339" t="s">
        <v>1265</v>
      </c>
      <c r="C31" s="2339"/>
      <c r="D31" s="2339"/>
      <c r="E31" s="2339"/>
      <c r="F31" s="2339"/>
      <c r="G31" s="2339"/>
      <c r="H31" s="2339"/>
      <c r="I31" s="2339"/>
      <c r="J31" s="2339"/>
      <c r="K31" s="2339"/>
      <c r="L31" s="2339"/>
      <c r="M31" s="2339"/>
      <c r="N31" s="2339"/>
      <c r="O31" s="2339"/>
      <c r="P31" s="2339"/>
      <c r="Q31" s="2339"/>
      <c r="R31" s="2339"/>
      <c r="S31" s="2339"/>
      <c r="T31" s="2339"/>
      <c r="U31" s="2339"/>
      <c r="V31" s="2339"/>
      <c r="W31" s="2339"/>
      <c r="X31" s="2339"/>
      <c r="Y31" s="2339"/>
      <c r="Z31" s="2339"/>
      <c r="AA31" s="2339"/>
      <c r="AB31" s="2339"/>
      <c r="AC31" s="2339"/>
      <c r="AD31" s="2339"/>
      <c r="AE31" s="2339"/>
      <c r="AF31" s="2339"/>
      <c r="AG31" s="2339"/>
      <c r="AH31" s="2339"/>
      <c r="AI31" s="2339"/>
      <c r="AJ31" s="2339"/>
      <c r="AK31" s="2339"/>
      <c r="AL31" s="2339"/>
      <c r="AM31" s="2339"/>
      <c r="AN31" s="518"/>
    </row>
    <row r="32" spans="1:40" ht="12.95" customHeight="1">
      <c r="B32" s="434"/>
      <c r="C32" s="511" t="s">
        <v>387</v>
      </c>
      <c r="D32" s="434"/>
      <c r="E32" s="434"/>
      <c r="F32" s="434"/>
      <c r="G32" s="434"/>
      <c r="H32" s="434"/>
      <c r="I32" s="434"/>
      <c r="J32" s="434"/>
      <c r="K32" s="434"/>
      <c r="L32" s="434"/>
      <c r="M32" s="434"/>
      <c r="N32" s="434"/>
      <c r="O32" s="434"/>
      <c r="P32" s="434"/>
      <c r="Q32" s="434"/>
      <c r="R32" s="434"/>
      <c r="S32" s="434"/>
      <c r="T32" s="434"/>
      <c r="U32" s="434"/>
      <c r="V32" s="434"/>
      <c r="W32" s="434"/>
      <c r="X32" s="434"/>
      <c r="Y32" s="434"/>
      <c r="Z32" s="434"/>
      <c r="AA32" s="434"/>
      <c r="AB32" s="434"/>
      <c r="AC32" s="434"/>
      <c r="AD32" s="434"/>
      <c r="AE32" s="434"/>
      <c r="AF32" s="434"/>
      <c r="AG32" s="434"/>
      <c r="AH32" s="434"/>
      <c r="AI32" s="434"/>
      <c r="AJ32" s="434"/>
      <c r="AK32" s="434"/>
      <c r="AL32" s="434"/>
      <c r="AM32" s="434"/>
    </row>
    <row r="33" spans="1:76" ht="12.95" customHeight="1"/>
    <row r="34" spans="1:76" ht="12.95" customHeight="1">
      <c r="A34" s="404" t="s">
        <v>576</v>
      </c>
      <c r="C34" s="404" t="s">
        <v>568</v>
      </c>
    </row>
    <row r="35" spans="1:76" ht="12.95" customHeight="1">
      <c r="B35" s="405"/>
      <c r="C35" s="406"/>
      <c r="D35" s="406"/>
      <c r="E35" s="406"/>
      <c r="F35" s="406"/>
      <c r="G35" s="406"/>
      <c r="H35" s="406"/>
      <c r="I35" s="406"/>
      <c r="J35" s="406"/>
      <c r="K35" s="406"/>
      <c r="L35" s="406"/>
      <c r="M35" s="406"/>
      <c r="N35" s="406"/>
      <c r="O35" s="406"/>
      <c r="P35" s="406"/>
      <c r="Q35" s="406"/>
      <c r="R35" s="406"/>
      <c r="S35" s="406"/>
      <c r="T35" s="406"/>
      <c r="U35" s="406"/>
      <c r="V35" s="406"/>
      <c r="W35" s="406"/>
      <c r="X35" s="411"/>
      <c r="Y35" s="2357" t="s">
        <v>1154</v>
      </c>
      <c r="Z35" s="2357"/>
      <c r="AA35" s="2357"/>
      <c r="AB35" s="2357"/>
      <c r="AC35" s="2357"/>
      <c r="AD35" s="2377" t="s">
        <v>369</v>
      </c>
      <c r="AE35" s="2377"/>
      <c r="AF35" s="2377"/>
      <c r="AG35" s="2377"/>
      <c r="AH35" s="2377"/>
    </row>
    <row r="36" spans="1:76" ht="12.95" customHeight="1">
      <c r="B36" s="407"/>
      <c r="X36" s="412"/>
      <c r="Y36" s="2357"/>
      <c r="Z36" s="2357"/>
      <c r="AA36" s="2357"/>
      <c r="AB36" s="2357"/>
      <c r="AC36" s="2357"/>
      <c r="AD36" s="2377"/>
      <c r="AE36" s="2377"/>
      <c r="AF36" s="2377"/>
      <c r="AG36" s="2377"/>
      <c r="AH36" s="2377"/>
    </row>
    <row r="37" spans="1:76" ht="12.95" customHeight="1">
      <c r="B37" s="408"/>
      <c r="C37" s="409"/>
      <c r="D37" s="409"/>
      <c r="E37" s="409"/>
      <c r="F37" s="409"/>
      <c r="G37" s="409"/>
      <c r="H37" s="409"/>
      <c r="I37" s="409"/>
      <c r="J37" s="409"/>
      <c r="K37" s="409"/>
      <c r="L37" s="409"/>
      <c r="M37" s="409"/>
      <c r="N37" s="409"/>
      <c r="O37" s="409"/>
      <c r="P37" s="409"/>
      <c r="Q37" s="409"/>
      <c r="R37" s="409"/>
      <c r="S37" s="409"/>
      <c r="T37" s="409"/>
      <c r="U37" s="409"/>
      <c r="V37" s="409"/>
      <c r="W37" s="409"/>
      <c r="X37" s="413"/>
      <c r="Y37" s="2357"/>
      <c r="Z37" s="2357"/>
      <c r="AA37" s="2357"/>
      <c r="AB37" s="2357"/>
      <c r="AC37" s="2357"/>
      <c r="AD37" s="2377"/>
      <c r="AE37" s="2377"/>
      <c r="AF37" s="2377"/>
      <c r="AG37" s="2377"/>
      <c r="AH37" s="2377"/>
    </row>
    <row r="38" spans="1:76" ht="12.95" customHeight="1">
      <c r="A38" s="404"/>
      <c r="B38" s="2336" t="s">
        <v>506</v>
      </c>
      <c r="C38" s="2337"/>
      <c r="D38" s="2337"/>
      <c r="E38" s="2337"/>
      <c r="F38" s="2337"/>
      <c r="G38" s="2337"/>
      <c r="H38" s="2337"/>
      <c r="I38" s="2337"/>
      <c r="J38" s="2337"/>
      <c r="K38" s="2337"/>
      <c r="L38" s="2337"/>
      <c r="M38" s="2337"/>
      <c r="N38" s="2337"/>
      <c r="O38" s="2337"/>
      <c r="P38" s="2337"/>
      <c r="Q38" s="2337"/>
      <c r="R38" s="2337"/>
      <c r="S38" s="2337"/>
      <c r="T38" s="2337"/>
      <c r="U38" s="2337"/>
      <c r="V38" s="2337"/>
      <c r="W38" s="2337"/>
      <c r="X38" s="2338"/>
      <c r="Y38" s="2330">
        <f>IF(T24&gt;=(T23+Y23+AD23+AI23),T28+Y28,0)</f>
        <v>40205657.700000003</v>
      </c>
      <c r="Z38" s="2330"/>
      <c r="AA38" s="2330"/>
      <c r="AB38" s="2330"/>
      <c r="AC38" s="2330"/>
      <c r="AD38" s="2330">
        <f>IF(T24&gt;=(T23+Y23+AD23+AI23),AD28+AI28,0)</f>
        <v>0</v>
      </c>
      <c r="AE38" s="2330"/>
      <c r="AF38" s="2330"/>
      <c r="AG38" s="2330"/>
      <c r="AH38" s="2330"/>
    </row>
    <row r="39" spans="1:76" ht="12.95" customHeight="1">
      <c r="B39" s="2336" t="s">
        <v>1680</v>
      </c>
      <c r="C39" s="2337"/>
      <c r="D39" s="2337"/>
      <c r="E39" s="2337"/>
      <c r="F39" s="2337"/>
      <c r="G39" s="2337"/>
      <c r="H39" s="2337"/>
      <c r="I39" s="2337"/>
      <c r="J39" s="2337"/>
      <c r="K39" s="2337"/>
      <c r="L39" s="2337"/>
      <c r="M39" s="2337"/>
      <c r="N39" s="2337"/>
      <c r="O39" s="2337"/>
      <c r="P39" s="2337"/>
      <c r="Q39" s="2337"/>
      <c r="R39" s="2337"/>
      <c r="S39" s="2337"/>
      <c r="T39" s="2337"/>
      <c r="U39" s="2337"/>
      <c r="V39" s="2337"/>
      <c r="W39" s="2337"/>
      <c r="X39" s="2338"/>
      <c r="Y39" s="2378">
        <v>0.04</v>
      </c>
      <c r="Z39" s="2378"/>
      <c r="AA39" s="2378"/>
      <c r="AB39" s="2378"/>
      <c r="AC39" s="2378"/>
      <c r="AD39" s="2378">
        <v>0.04</v>
      </c>
      <c r="AE39" s="2378"/>
      <c r="AF39" s="2378"/>
      <c r="AG39" s="2378"/>
      <c r="AH39" s="2378"/>
    </row>
    <row r="40" spans="1:76" ht="12.95" customHeight="1">
      <c r="A40" s="404"/>
      <c r="B40" s="2336" t="s">
        <v>642</v>
      </c>
      <c r="C40" s="2337"/>
      <c r="D40" s="2337"/>
      <c r="E40" s="2337"/>
      <c r="F40" s="2337"/>
      <c r="G40" s="2337"/>
      <c r="H40" s="2337"/>
      <c r="I40" s="2337"/>
      <c r="J40" s="2337"/>
      <c r="K40" s="2337"/>
      <c r="L40" s="2337"/>
      <c r="M40" s="2337"/>
      <c r="N40" s="2337"/>
      <c r="O40" s="2337"/>
      <c r="P40" s="2337"/>
      <c r="Q40" s="2337"/>
      <c r="R40" s="2337"/>
      <c r="S40" s="2337"/>
      <c r="T40" s="2337"/>
      <c r="U40" s="2337"/>
      <c r="V40" s="2337"/>
      <c r="W40" s="2337"/>
      <c r="X40" s="2338"/>
      <c r="Y40" s="2330">
        <f>ROUND(Y38*Y39,0)</f>
        <v>1608226</v>
      </c>
      <c r="Z40" s="2330"/>
      <c r="AA40" s="2330"/>
      <c r="AB40" s="2330"/>
      <c r="AC40" s="2330"/>
      <c r="AD40" s="2329">
        <f>ROUND(AD38*AD39,0)</f>
        <v>0</v>
      </c>
      <c r="AE40" s="2330"/>
      <c r="AF40" s="2330"/>
      <c r="AG40" s="2330"/>
      <c r="AH40" s="2330"/>
    </row>
    <row r="41" spans="1:76" ht="12.95" customHeight="1">
      <c r="B41" s="2336" t="s">
        <v>643</v>
      </c>
      <c r="C41" s="2337"/>
      <c r="D41" s="2337"/>
      <c r="E41" s="2337"/>
      <c r="F41" s="2337"/>
      <c r="G41" s="2337"/>
      <c r="H41" s="2337"/>
      <c r="I41" s="2337"/>
      <c r="J41" s="2337"/>
      <c r="K41" s="2337"/>
      <c r="L41" s="2337"/>
      <c r="M41" s="2337"/>
      <c r="N41" s="2337"/>
      <c r="O41" s="2337"/>
      <c r="P41" s="2337"/>
      <c r="Q41" s="2337"/>
      <c r="R41" s="2337"/>
      <c r="S41" s="2337"/>
      <c r="T41" s="2337"/>
      <c r="U41" s="2337"/>
      <c r="V41" s="2337"/>
      <c r="W41" s="2337"/>
      <c r="X41" s="2338"/>
      <c r="Y41" s="2331">
        <f>Y40+AD40</f>
        <v>1608226</v>
      </c>
      <c r="Z41" s="2332"/>
      <c r="AA41" s="2332"/>
      <c r="AB41" s="2332"/>
      <c r="AC41" s="2332"/>
      <c r="AD41" s="2332"/>
      <c r="AE41" s="2332"/>
      <c r="AF41" s="2332"/>
      <c r="AG41" s="2332"/>
      <c r="AH41" s="2329"/>
    </row>
    <row r="42" spans="1:76" ht="12.95" customHeight="1">
      <c r="A42" s="404"/>
      <c r="B42" s="926"/>
      <c r="C42" s="926"/>
      <c r="D42" s="926"/>
      <c r="E42" s="926"/>
      <c r="F42" s="926"/>
      <c r="G42" s="926"/>
      <c r="H42" s="926"/>
      <c r="I42" s="926"/>
      <c r="J42" s="926"/>
      <c r="K42" s="926"/>
      <c r="L42" s="926"/>
      <c r="M42" s="926"/>
      <c r="N42" s="926"/>
      <c r="O42" s="926"/>
      <c r="P42" s="926"/>
      <c r="Q42" s="926"/>
      <c r="R42" s="926"/>
      <c r="S42" s="926"/>
      <c r="T42" s="926"/>
      <c r="U42" s="926"/>
      <c r="V42" s="926"/>
      <c r="W42" s="926"/>
      <c r="X42" s="926"/>
      <c r="Y42" s="926"/>
      <c r="Z42" s="926"/>
      <c r="AA42" s="926"/>
      <c r="AB42" s="926"/>
      <c r="AC42" s="926"/>
      <c r="AD42" s="926"/>
      <c r="AE42" s="926"/>
      <c r="AF42" s="926"/>
      <c r="AG42" s="926"/>
      <c r="AH42" s="926"/>
    </row>
    <row r="43" spans="1:76" ht="12.95" customHeight="1">
      <c r="B43" s="414"/>
      <c r="C43" s="414"/>
      <c r="D43" s="414"/>
      <c r="E43" s="414"/>
      <c r="F43" s="414"/>
      <c r="G43" s="414"/>
      <c r="H43" s="414"/>
      <c r="I43" s="414"/>
      <c r="J43" s="414"/>
      <c r="K43" s="414"/>
      <c r="L43" s="414"/>
      <c r="M43" s="414"/>
      <c r="N43" s="414"/>
      <c r="O43" s="414"/>
      <c r="P43" s="414"/>
      <c r="Q43" s="414"/>
      <c r="R43" s="414"/>
      <c r="S43" s="414"/>
      <c r="T43" s="414"/>
      <c r="U43" s="414"/>
      <c r="V43" s="414"/>
      <c r="W43" s="414"/>
      <c r="X43" s="414"/>
      <c r="Y43" s="414"/>
      <c r="Z43" s="414"/>
      <c r="AA43" s="414"/>
      <c r="AB43" s="414"/>
      <c r="AC43" s="414"/>
      <c r="AD43" s="414"/>
      <c r="AE43" s="414"/>
      <c r="AF43" s="414"/>
      <c r="AG43" s="414"/>
      <c r="AH43" s="414"/>
    </row>
    <row r="44" spans="1:76" s="204" customFormat="1" ht="12.95" customHeight="1" thickBot="1">
      <c r="A44" s="2334" t="s">
        <v>1276</v>
      </c>
      <c r="B44" s="2334"/>
      <c r="C44" s="2334"/>
      <c r="D44" s="2334"/>
      <c r="E44" s="2334"/>
      <c r="F44" s="2334"/>
      <c r="G44" s="2334"/>
      <c r="H44" s="2334"/>
      <c r="I44" s="2334"/>
      <c r="J44" s="2334"/>
      <c r="K44" s="2334"/>
      <c r="L44" s="2334"/>
      <c r="M44" s="2334"/>
      <c r="N44" s="2334"/>
      <c r="O44" s="2334"/>
      <c r="P44" s="2334"/>
      <c r="Q44" s="2334"/>
      <c r="R44" s="2334"/>
      <c r="S44" s="2334"/>
      <c r="T44" s="2334"/>
      <c r="U44" s="2334"/>
      <c r="V44" s="2334"/>
      <c r="W44" s="2334"/>
      <c r="X44" s="2334"/>
      <c r="Y44" s="2334"/>
      <c r="Z44" s="2334"/>
      <c r="AA44" s="2334"/>
      <c r="AB44" s="2334"/>
      <c r="AC44" s="2334"/>
      <c r="AD44" s="2334"/>
      <c r="AE44" s="2334"/>
      <c r="AF44" s="2334"/>
      <c r="AG44" s="2334"/>
      <c r="AH44" s="2334"/>
      <c r="AI44" s="2334"/>
      <c r="AJ44" s="2334"/>
      <c r="AK44" s="2334"/>
      <c r="AL44" s="2334"/>
      <c r="AM44" s="2334"/>
      <c r="AN44" s="2334"/>
      <c r="AO44" s="2334"/>
      <c r="AP44" s="2334"/>
      <c r="AQ44" s="2334"/>
      <c r="AR44" s="2334"/>
      <c r="AS44" s="2334"/>
      <c r="AT44" s="2334"/>
      <c r="AU44" s="2334"/>
      <c r="AV44" s="2334"/>
      <c r="AW44" s="2334"/>
      <c r="AX44" s="2334"/>
      <c r="AY44" s="2334"/>
      <c r="AZ44" s="2334"/>
      <c r="BA44" s="2334"/>
      <c r="BB44" s="2334"/>
      <c r="BC44" s="2334"/>
      <c r="BD44" s="2334"/>
      <c r="BE44" s="2334"/>
      <c r="BF44" s="2334"/>
      <c r="BG44" s="2334"/>
      <c r="BH44" s="2334"/>
      <c r="BI44" s="2334"/>
      <c r="BJ44" s="2334"/>
      <c r="BK44" s="2334"/>
      <c r="BL44" s="2334"/>
      <c r="BM44" s="2334"/>
      <c r="BN44" s="2334"/>
      <c r="BO44" s="2334"/>
      <c r="BP44" s="2334"/>
      <c r="BQ44" s="2334"/>
      <c r="BR44" s="2334"/>
      <c r="BS44" s="2334"/>
      <c r="BT44" s="2334"/>
      <c r="BU44" s="2334"/>
      <c r="BV44" s="2334"/>
      <c r="BW44" s="2334"/>
      <c r="BX44" s="2334"/>
    </row>
    <row r="45" spans="1:76" s="204" customFormat="1" ht="12.95" customHeight="1" thickTop="1"/>
    <row r="46" spans="1:76" ht="12.95" customHeight="1">
      <c r="A46" s="404" t="s">
        <v>586</v>
      </c>
      <c r="C46" s="404" t="s">
        <v>282</v>
      </c>
    </row>
    <row r="47" spans="1:76" ht="12.95" customHeight="1">
      <c r="D47" s="404" t="s">
        <v>283</v>
      </c>
      <c r="AB47" s="2346">
        <f>'Sources and Uses Budget'!B105-MAX(IF('Sources and Uses Budget'!B15="",0,'Sources and Uses Budget'!B15),IF(Application!AG403="",0,Application!AG403))</f>
        <v>34183137</v>
      </c>
      <c r="AC47" s="2347"/>
      <c r="AD47" s="2347"/>
      <c r="AE47" s="2347"/>
      <c r="AF47" s="2348"/>
    </row>
    <row r="48" spans="1:76" ht="12.95" customHeight="1">
      <c r="D48" s="404" t="s">
        <v>21</v>
      </c>
      <c r="AB48" s="2346">
        <f>Application!AO647-MAX(IF('Sources and Uses Budget'!B15="",0,'Sources and Uses Budget'!B15),IF(Application!AG403="",0,Application!AG403))</f>
        <v>12880324</v>
      </c>
      <c r="AC48" s="2347"/>
      <c r="AD48" s="2347"/>
      <c r="AE48" s="2347"/>
      <c r="AF48" s="2348"/>
    </row>
    <row r="49" spans="1:76" ht="12.95" customHeight="1">
      <c r="D49" s="404" t="s">
        <v>91</v>
      </c>
      <c r="AB49" s="2346">
        <f>AB47-AB48</f>
        <v>21302813</v>
      </c>
      <c r="AC49" s="2347"/>
      <c r="AD49" s="2347"/>
      <c r="AE49" s="2347"/>
      <c r="AF49" s="2348"/>
    </row>
    <row r="50" spans="1:76" ht="12.95" customHeight="1">
      <c r="D50" s="404" t="s">
        <v>681</v>
      </c>
      <c r="AA50" s="415"/>
      <c r="AB50" s="2373">
        <v>0.84000050000000004</v>
      </c>
      <c r="AC50" s="2374"/>
      <c r="AD50" s="2374"/>
      <c r="AE50" s="2374"/>
      <c r="AF50" s="2375"/>
    </row>
    <row r="51" spans="1:76" s="417" customFormat="1" ht="12.95" customHeight="1">
      <c r="A51" s="402"/>
      <c r="B51" s="402"/>
      <c r="C51" s="402"/>
      <c r="D51" s="402"/>
      <c r="E51" s="2376" t="s">
        <v>2535</v>
      </c>
      <c r="F51" s="2376"/>
      <c r="G51" s="2376"/>
      <c r="H51" s="2376"/>
      <c r="I51" s="2376"/>
      <c r="J51" s="2376"/>
      <c r="K51" s="2376"/>
      <c r="L51" s="2376"/>
      <c r="M51" s="2376"/>
      <c r="N51" s="2376"/>
      <c r="O51" s="2376"/>
      <c r="P51" s="2376"/>
      <c r="Q51" s="2376"/>
      <c r="R51" s="2376"/>
      <c r="S51" s="2376"/>
      <c r="T51" s="2376"/>
      <c r="U51" s="2376"/>
      <c r="V51" s="2376"/>
      <c r="W51" s="2376"/>
      <c r="X51" s="2376"/>
      <c r="Y51" s="2376"/>
      <c r="Z51" s="2376"/>
      <c r="AA51" s="416"/>
      <c r="AB51" s="416"/>
      <c r="AC51" s="416"/>
      <c r="AD51" s="416"/>
      <c r="AE51" s="416"/>
      <c r="AF51" s="416"/>
      <c r="AG51" s="402"/>
      <c r="AH51" s="402"/>
      <c r="AI51" s="402"/>
      <c r="AJ51" s="402"/>
      <c r="AK51" s="402"/>
      <c r="AL51" s="402"/>
      <c r="AM51" s="402"/>
      <c r="AN51" s="402"/>
    </row>
    <row r="52" spans="1:76" s="417" customFormat="1" ht="12.95" customHeight="1">
      <c r="A52" s="402"/>
      <c r="B52" s="402"/>
      <c r="C52" s="402"/>
      <c r="D52" s="402"/>
      <c r="E52" s="2376"/>
      <c r="F52" s="2376"/>
      <c r="G52" s="2376"/>
      <c r="H52" s="2376"/>
      <c r="I52" s="2376"/>
      <c r="J52" s="2376"/>
      <c r="K52" s="2376"/>
      <c r="L52" s="2376"/>
      <c r="M52" s="2376"/>
      <c r="N52" s="2376"/>
      <c r="O52" s="2376"/>
      <c r="P52" s="2376"/>
      <c r="Q52" s="2376"/>
      <c r="R52" s="2376"/>
      <c r="S52" s="2376"/>
      <c r="T52" s="2376"/>
      <c r="U52" s="2376"/>
      <c r="V52" s="2376"/>
      <c r="W52" s="2376"/>
      <c r="X52" s="2376"/>
      <c r="Y52" s="2376"/>
      <c r="Z52" s="2376"/>
      <c r="AA52" s="418"/>
      <c r="AB52" s="418"/>
      <c r="AC52" s="418"/>
      <c r="AD52" s="418"/>
      <c r="AE52" s="418"/>
      <c r="AF52" s="418"/>
      <c r="AG52" s="419"/>
      <c r="AH52" s="402"/>
      <c r="AI52" s="402"/>
      <c r="AJ52" s="402"/>
      <c r="AK52" s="402"/>
      <c r="AL52" s="402"/>
      <c r="AM52" s="402"/>
      <c r="AN52" s="402"/>
    </row>
    <row r="53" spans="1:76" ht="12.95" customHeight="1">
      <c r="E53" s="416"/>
      <c r="F53" s="416"/>
      <c r="G53" s="416"/>
      <c r="H53" s="416"/>
      <c r="I53" s="416"/>
      <c r="J53" s="416"/>
      <c r="K53" s="416"/>
      <c r="L53" s="416"/>
      <c r="M53" s="416"/>
      <c r="N53" s="416"/>
      <c r="O53" s="416"/>
      <c r="P53" s="416"/>
      <c r="Q53" s="416"/>
      <c r="R53" s="416"/>
      <c r="S53" s="416"/>
      <c r="T53" s="416"/>
      <c r="U53" s="416"/>
      <c r="V53" s="416"/>
      <c r="W53" s="416"/>
      <c r="X53" s="416"/>
      <c r="Y53" s="416"/>
      <c r="Z53" s="416"/>
    </row>
    <row r="54" spans="1:76" ht="12.95" customHeight="1">
      <c r="D54" s="404" t="s">
        <v>332</v>
      </c>
      <c r="AB54" s="2346">
        <f>ROUND(IF(ISERROR((AB49/AB50)),0,(AB49/AB50)),0)</f>
        <v>25360477</v>
      </c>
      <c r="AC54" s="2347"/>
      <c r="AD54" s="2347"/>
      <c r="AE54" s="2347"/>
      <c r="AF54" s="2348"/>
    </row>
    <row r="55" spans="1:76" ht="12.95" customHeight="1">
      <c r="D55" s="404" t="s">
        <v>333</v>
      </c>
      <c r="AB55" s="2346">
        <f>(AB54/10)</f>
        <v>2536047.7000000002</v>
      </c>
      <c r="AC55" s="2347"/>
      <c r="AD55" s="2347"/>
      <c r="AE55" s="2347"/>
      <c r="AF55" s="2348"/>
    </row>
    <row r="56" spans="1:76" ht="12.95" customHeight="1">
      <c r="D56" s="404" t="s">
        <v>756</v>
      </c>
      <c r="AB56" s="2346">
        <f>ROUND((IF((Y41&lt;AB55),Y41,AB55)),0)</f>
        <v>1608226</v>
      </c>
      <c r="AC56" s="2347"/>
      <c r="AD56" s="2347"/>
      <c r="AE56" s="2347"/>
      <c r="AF56" s="2348"/>
    </row>
    <row r="57" spans="1:76" ht="12.95" customHeight="1">
      <c r="D57" s="404" t="s">
        <v>755</v>
      </c>
      <c r="AB57" s="2346">
        <f>ROUND((10*AB56*AB50),0)</f>
        <v>13509106</v>
      </c>
      <c r="AC57" s="2347"/>
      <c r="AD57" s="2347"/>
      <c r="AE57" s="2347"/>
      <c r="AF57" s="2348"/>
    </row>
    <row r="58" spans="1:76" ht="12.95" customHeight="1">
      <c r="D58" s="404"/>
      <c r="AB58" s="423"/>
      <c r="AC58" s="423"/>
      <c r="AD58" s="423"/>
      <c r="AE58" s="423"/>
      <c r="AF58" s="423"/>
    </row>
    <row r="59" spans="1:76" ht="12.95" customHeight="1">
      <c r="D59" s="404" t="s">
        <v>754</v>
      </c>
      <c r="AB59" s="2369">
        <f>AB49-AB57</f>
        <v>7793707</v>
      </c>
      <c r="AC59" s="2369"/>
      <c r="AD59" s="2369"/>
      <c r="AE59" s="2369"/>
      <c r="AF59" s="2369"/>
    </row>
    <row r="60" spans="1:76" ht="12.95" customHeight="1">
      <c r="D60" s="404"/>
      <c r="AB60" s="423"/>
      <c r="AC60" s="423"/>
      <c r="AD60" s="423"/>
      <c r="AE60" s="423"/>
      <c r="AF60" s="423"/>
    </row>
    <row r="61" spans="1:76" s="204" customFormat="1" ht="12.95" customHeight="1" thickBot="1">
      <c r="A61" s="2334" t="str">
        <f>IF(Application!AP205="yes","Farmworker State Credit", "State Credit" )</f>
        <v>State Credit</v>
      </c>
      <c r="B61" s="2334"/>
      <c r="C61" s="2334"/>
      <c r="D61" s="2334"/>
      <c r="E61" s="2334"/>
      <c r="F61" s="2334"/>
      <c r="G61" s="2334"/>
      <c r="H61" s="2334"/>
      <c r="I61" s="2334"/>
      <c r="J61" s="2334"/>
      <c r="K61" s="2334"/>
      <c r="L61" s="2334"/>
      <c r="M61" s="2334"/>
      <c r="N61" s="2334"/>
      <c r="O61" s="2334"/>
      <c r="P61" s="2334"/>
      <c r="Q61" s="2334"/>
      <c r="R61" s="2334"/>
      <c r="S61" s="2334"/>
      <c r="T61" s="2334"/>
      <c r="U61" s="2334"/>
      <c r="V61" s="2334"/>
      <c r="W61" s="2334"/>
      <c r="X61" s="2334"/>
      <c r="Y61" s="2334"/>
      <c r="Z61" s="2334"/>
      <c r="AA61" s="2334"/>
      <c r="AB61" s="2334"/>
      <c r="AC61" s="2334"/>
      <c r="AD61" s="2334"/>
      <c r="AE61" s="2334"/>
      <c r="AF61" s="2334"/>
      <c r="AG61" s="2334"/>
      <c r="AH61" s="2334"/>
      <c r="AI61" s="2334"/>
      <c r="AJ61" s="2334"/>
      <c r="AK61" s="2334"/>
      <c r="AL61" s="2334"/>
      <c r="AM61" s="2334"/>
      <c r="AN61" s="2334"/>
      <c r="AO61" s="2334"/>
      <c r="AP61" s="2334"/>
      <c r="AQ61" s="2334"/>
      <c r="AR61" s="2334"/>
      <c r="AS61" s="2334"/>
      <c r="AT61" s="2334"/>
      <c r="AU61" s="2334"/>
      <c r="AV61" s="2334"/>
      <c r="AW61" s="2334"/>
      <c r="AX61" s="2334"/>
      <c r="AY61" s="2334"/>
      <c r="AZ61" s="2334"/>
      <c r="BA61" s="2334"/>
      <c r="BB61" s="2334"/>
      <c r="BC61" s="2334"/>
      <c r="BD61" s="2334"/>
      <c r="BE61" s="2334"/>
      <c r="BF61" s="2334"/>
      <c r="BG61" s="2334"/>
      <c r="BH61" s="2334"/>
      <c r="BI61" s="2334"/>
      <c r="BJ61" s="2334"/>
      <c r="BK61" s="2334"/>
      <c r="BL61" s="2334"/>
      <c r="BM61" s="2334"/>
      <c r="BN61" s="2334"/>
      <c r="BO61" s="2334"/>
      <c r="BP61" s="2334"/>
      <c r="BQ61" s="2334"/>
      <c r="BR61" s="2334"/>
      <c r="BS61" s="2334"/>
      <c r="BT61" s="2334"/>
      <c r="BU61" s="2334"/>
      <c r="BV61" s="2334"/>
      <c r="BW61" s="2334"/>
      <c r="BX61" s="2334"/>
    </row>
    <row r="62" spans="1:76" s="204" customFormat="1" ht="12.95" customHeight="1" thickTop="1"/>
    <row r="63" spans="1:76" ht="12.95" customHeight="1">
      <c r="A63" s="404" t="s">
        <v>589</v>
      </c>
      <c r="C63" s="205" t="s">
        <v>1248</v>
      </c>
      <c r="Y63" s="2370" t="s">
        <v>984</v>
      </c>
      <c r="Z63" s="2370"/>
      <c r="AA63" s="2370"/>
      <c r="AB63" s="2370"/>
      <c r="AC63" s="2370"/>
      <c r="AD63" s="2370" t="s">
        <v>369</v>
      </c>
      <c r="AE63" s="2370"/>
      <c r="AF63" s="2370"/>
      <c r="AG63" s="2370"/>
      <c r="AH63" s="2370"/>
    </row>
    <row r="64" spans="1:76" ht="12.95" customHeight="1">
      <c r="C64" s="404"/>
      <c r="D64" s="377" t="s">
        <v>1249</v>
      </c>
      <c r="E64" s="420"/>
      <c r="F64" s="420"/>
      <c r="G64" s="420"/>
      <c r="H64" s="420"/>
      <c r="I64" s="420"/>
      <c r="J64" s="420"/>
      <c r="K64" s="420"/>
      <c r="L64" s="420"/>
      <c r="M64" s="420"/>
      <c r="N64" s="420"/>
      <c r="O64" s="420"/>
      <c r="P64" s="420"/>
      <c r="Q64" s="420"/>
      <c r="R64" s="420"/>
      <c r="S64" s="420"/>
      <c r="T64" s="420"/>
      <c r="U64" s="420"/>
      <c r="V64" s="420"/>
      <c r="W64" s="420"/>
      <c r="X64" s="420"/>
      <c r="Y64" s="2331">
        <f>IF(Application!$Z$205="(select)",0,((T23*T27)+Y28))</f>
        <v>30927429</v>
      </c>
      <c r="Z64" s="2371"/>
      <c r="AA64" s="2371"/>
      <c r="AB64" s="2371"/>
      <c r="AC64" s="2372"/>
      <c r="AD64" s="2331">
        <f>IF(AND(OR(Application!D211="At-Risk",Application!D211="At-Risk and Special Needs"),Application!M367="yes"),AD28+AI28,0)</f>
        <v>0</v>
      </c>
      <c r="AE64" s="2371"/>
      <c r="AF64" s="2371"/>
      <c r="AG64" s="2371"/>
      <c r="AH64" s="2372"/>
    </row>
    <row r="65" spans="1:37" ht="12.95" customHeight="1">
      <c r="C65" s="404"/>
      <c r="E65" s="1012" t="s">
        <v>1824</v>
      </c>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439"/>
      <c r="AF65" s="439"/>
      <c r="AG65" s="439"/>
      <c r="AH65" s="439"/>
      <c r="AI65" s="439"/>
      <c r="AJ65" s="439"/>
    </row>
    <row r="66" spans="1:37" ht="22.5" customHeight="1">
      <c r="C66" s="404"/>
      <c r="E66" s="1012" t="s">
        <v>1825</v>
      </c>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39"/>
      <c r="AF66" s="439"/>
      <c r="AG66" s="439"/>
      <c r="AH66" s="439"/>
      <c r="AI66" s="439"/>
      <c r="AJ66" s="439"/>
    </row>
    <row r="67" spans="1:37" ht="12.95" customHeight="1">
      <c r="C67" s="404"/>
      <c r="D67" s="404" t="s">
        <v>270</v>
      </c>
      <c r="E67" s="421"/>
      <c r="F67" s="421"/>
      <c r="G67" s="421"/>
      <c r="H67" s="421"/>
      <c r="I67" s="421"/>
      <c r="J67" s="421"/>
      <c r="K67" s="421"/>
      <c r="L67" s="421"/>
      <c r="M67" s="421"/>
      <c r="N67" s="421"/>
      <c r="O67" s="421"/>
      <c r="P67" s="421"/>
      <c r="Q67" s="421"/>
      <c r="R67" s="421"/>
      <c r="S67" s="421"/>
      <c r="T67" s="421"/>
      <c r="U67" s="421"/>
      <c r="V67" s="421"/>
      <c r="W67" s="421"/>
      <c r="X67" s="421"/>
      <c r="Y67" s="2384">
        <f>IF(OR(Application!Z205="State Farmworker Credit",Application!Z205="$500M (Farmworker Housing)"),0.75,IF(Application!Z205="15% set-aside",0.13,IF(Application!Z205="15% set-aside with qualifying low value rehab",0.95,IF(Application!Z205="$500M",0.3,0))))</f>
        <v>0.3</v>
      </c>
      <c r="Z67" s="2384"/>
      <c r="AA67" s="2384"/>
      <c r="AB67" s="2384"/>
      <c r="AC67" s="2384"/>
      <c r="AD67" s="2384">
        <f>IF(Application!Z205="15% set-aside with qualifying low value rehab", 0.95,IF(OR(Application!D211="At-Risk",'Points System'!B26="Yes"),0.13,0))</f>
        <v>0</v>
      </c>
      <c r="AE67" s="2384"/>
      <c r="AF67" s="2384"/>
      <c r="AG67" s="2384"/>
      <c r="AH67" s="2384"/>
    </row>
    <row r="68" spans="1:37" ht="12.95" customHeight="1">
      <c r="C68" s="404"/>
      <c r="D68" s="205" t="s">
        <v>2178</v>
      </c>
      <c r="Y68" s="2330">
        <f>IF(AND(T25=1.3,OR(Y67=0.13,Y67=0.95),NOT(Application!T212&gt;=50%)),0,ROUND(Y64*Y67,0))</f>
        <v>9278229</v>
      </c>
      <c r="Z68" s="2385"/>
      <c r="AA68" s="2385"/>
      <c r="AB68" s="2385"/>
      <c r="AC68" s="2385"/>
      <c r="AD68" s="2330">
        <f>IF(AND(T25=1.3,AD67&gt;0,NOT(Application!T212&gt;=50%)),0,ROUND(AD64*AD67,0))</f>
        <v>0</v>
      </c>
      <c r="AE68" s="2385"/>
      <c r="AF68" s="2385"/>
      <c r="AG68" s="2385"/>
      <c r="AH68" s="2385"/>
      <c r="AK68" s="1192"/>
    </row>
    <row r="69" spans="1:37" ht="12.95" customHeight="1">
      <c r="C69" s="404"/>
      <c r="D69" s="205" t="s">
        <v>2179</v>
      </c>
      <c r="Y69" s="2330">
        <f>IF(OR(Application!Z205="State Farmworker Credit",Application!Z205="$500M (Farmworker Housing)"),Y68+AD68,MIN(Y68+AD68,200000*(Application!G761+Application!O785)))</f>
        <v>9278229</v>
      </c>
      <c r="Z69" s="2330"/>
      <c r="AA69" s="2330"/>
      <c r="AB69" s="2330"/>
      <c r="AC69" s="2330"/>
      <c r="AD69" s="2330"/>
      <c r="AE69" s="2330"/>
      <c r="AF69" s="2330"/>
      <c r="AG69" s="2330"/>
      <c r="AH69" s="2330"/>
    </row>
    <row r="70" spans="1:37" ht="12.95" customHeight="1">
      <c r="C70" s="404"/>
      <c r="E70" s="404"/>
      <c r="AB70" s="422"/>
      <c r="AC70" s="422"/>
      <c r="AD70" s="422"/>
      <c r="AE70" s="422"/>
      <c r="AF70" s="422"/>
    </row>
    <row r="71" spans="1:37" ht="12.95" customHeight="1">
      <c r="A71" s="404" t="s">
        <v>590</v>
      </c>
      <c r="C71" s="205" t="s">
        <v>284</v>
      </c>
    </row>
    <row r="72" spans="1:37" ht="12.95" customHeight="1">
      <c r="A72" s="404"/>
      <c r="C72" s="404"/>
      <c r="D72" s="205" t="s">
        <v>1250</v>
      </c>
      <c r="AB72" s="2373">
        <v>0.84</v>
      </c>
      <c r="AC72" s="2374"/>
      <c r="AD72" s="2374"/>
      <c r="AE72" s="2374"/>
      <c r="AF72" s="2375"/>
    </row>
    <row r="73" spans="1:37" ht="12.95" customHeight="1">
      <c r="A73" s="404"/>
      <c r="C73" s="404"/>
      <c r="D73" s="404"/>
      <c r="E73" s="2386" t="s">
        <v>1251</v>
      </c>
      <c r="F73" s="2386"/>
      <c r="G73" s="2386"/>
      <c r="H73" s="2386"/>
      <c r="I73" s="2386"/>
      <c r="J73" s="2386"/>
      <c r="K73" s="2386"/>
      <c r="L73" s="2386"/>
      <c r="M73" s="2386"/>
      <c r="N73" s="2386"/>
      <c r="O73" s="2386"/>
      <c r="P73" s="2386"/>
      <c r="Q73" s="2386"/>
      <c r="R73" s="2386"/>
      <c r="S73" s="2386"/>
      <c r="T73" s="2386"/>
      <c r="U73" s="2386"/>
      <c r="V73" s="2386"/>
      <c r="W73" s="2386"/>
      <c r="X73" s="2386"/>
      <c r="Y73" s="2386"/>
      <c r="Z73" s="2386"/>
      <c r="AA73" s="2386"/>
      <c r="AB73" s="438"/>
      <c r="AC73" s="438"/>
    </row>
    <row r="74" spans="1:37" ht="12.95" customHeight="1">
      <c r="A74" s="404"/>
      <c r="C74" s="404"/>
      <c r="D74" s="404"/>
      <c r="E74" s="2386"/>
      <c r="F74" s="2386"/>
      <c r="G74" s="2386"/>
      <c r="H74" s="2386"/>
      <c r="I74" s="2386"/>
      <c r="J74" s="2386"/>
      <c r="K74" s="2386"/>
      <c r="L74" s="2386"/>
      <c r="M74" s="2386"/>
      <c r="N74" s="2386"/>
      <c r="O74" s="2386"/>
      <c r="P74" s="2386"/>
      <c r="Q74" s="2386"/>
      <c r="R74" s="2386"/>
      <c r="S74" s="2386"/>
      <c r="T74" s="2386"/>
      <c r="U74" s="2386"/>
      <c r="V74" s="2386"/>
      <c r="W74" s="2386"/>
      <c r="X74" s="2386"/>
      <c r="Y74" s="2386"/>
      <c r="Z74" s="2386"/>
      <c r="AA74" s="2386"/>
      <c r="AB74" s="438"/>
      <c r="AC74" s="438"/>
    </row>
    <row r="75" spans="1:37" ht="12.95" customHeight="1">
      <c r="A75" s="404"/>
      <c r="C75" s="404"/>
      <c r="D75" s="404"/>
      <c r="E75" s="2386"/>
      <c r="F75" s="2386"/>
      <c r="G75" s="2386"/>
      <c r="H75" s="2386"/>
      <c r="I75" s="2386"/>
      <c r="J75" s="2386"/>
      <c r="K75" s="2386"/>
      <c r="L75" s="2386"/>
      <c r="M75" s="2386"/>
      <c r="N75" s="2386"/>
      <c r="O75" s="2386"/>
      <c r="P75" s="2386"/>
      <c r="Q75" s="2386"/>
      <c r="R75" s="2386"/>
      <c r="S75" s="2386"/>
      <c r="T75" s="2386"/>
      <c r="U75" s="2386"/>
      <c r="V75" s="2386"/>
      <c r="W75" s="2386"/>
      <c r="X75" s="2386"/>
      <c r="Y75" s="2386"/>
      <c r="Z75" s="2386"/>
      <c r="AA75" s="2386"/>
      <c r="AB75" s="438"/>
      <c r="AC75" s="438"/>
    </row>
    <row r="76" spans="1:37" ht="12.95" customHeight="1">
      <c r="A76" s="404"/>
      <c r="C76" s="404"/>
      <c r="D76" s="404"/>
      <c r="E76" s="424"/>
      <c r="F76" s="424"/>
      <c r="G76" s="424"/>
      <c r="H76" s="424"/>
      <c r="I76" s="424"/>
      <c r="J76" s="424"/>
      <c r="K76" s="424"/>
      <c r="L76" s="424"/>
      <c r="M76" s="424"/>
      <c r="N76" s="424"/>
      <c r="O76" s="424"/>
      <c r="P76" s="424"/>
      <c r="Q76" s="424"/>
      <c r="R76" s="424"/>
      <c r="S76" s="424"/>
      <c r="T76" s="424"/>
      <c r="U76" s="424"/>
      <c r="V76" s="424"/>
      <c r="W76" s="424"/>
      <c r="X76" s="424"/>
      <c r="Y76" s="424"/>
      <c r="Z76" s="424"/>
      <c r="AA76" s="360"/>
      <c r="AB76" s="360"/>
      <c r="AC76" s="360"/>
    </row>
    <row r="77" spans="1:37" ht="12.95" customHeight="1">
      <c r="C77" s="404"/>
      <c r="D77" s="205" t="s">
        <v>1252</v>
      </c>
      <c r="AB77" s="2379">
        <f>ROUND(IF(ISERROR((AB59/AB72)),0,(AB59/AB72)),0)</f>
        <v>9278223</v>
      </c>
      <c r="AC77" s="2379"/>
      <c r="AD77" s="2379"/>
      <c r="AE77" s="2379"/>
      <c r="AF77" s="2379"/>
    </row>
    <row r="78" spans="1:37" ht="12.95" customHeight="1">
      <c r="C78" s="404"/>
      <c r="D78" s="205" t="s">
        <v>1253</v>
      </c>
      <c r="AB78" s="2380">
        <f>ROUNDUP(MIN(Y69,AB77),0)</f>
        <v>9278223</v>
      </c>
      <c r="AC78" s="2381"/>
      <c r="AD78" s="2381"/>
      <c r="AE78" s="2381"/>
      <c r="AF78" s="2382"/>
    </row>
    <row r="79" spans="1:37" ht="12.95" customHeight="1">
      <c r="C79" s="404"/>
      <c r="D79" s="205" t="s">
        <v>1254</v>
      </c>
      <c r="AB79" s="2383">
        <f>AB78*AB72</f>
        <v>7793707.3199999994</v>
      </c>
      <c r="AC79" s="2383"/>
      <c r="AD79" s="2383"/>
      <c r="AE79" s="2383"/>
      <c r="AF79" s="2383"/>
    </row>
    <row r="80" spans="1:37" ht="12.95" customHeight="1">
      <c r="C80" s="404"/>
      <c r="D80" s="404"/>
      <c r="AB80" s="425"/>
      <c r="AC80" s="425"/>
      <c r="AD80" s="425"/>
      <c r="AE80" s="425"/>
      <c r="AF80" s="425"/>
    </row>
    <row r="81" spans="1:78" ht="12.95" customHeight="1">
      <c r="D81" s="404" t="s">
        <v>754</v>
      </c>
      <c r="AB81" s="2369">
        <f>AB49-(AB57+AB79)</f>
        <v>-0.32000000029802322</v>
      </c>
      <c r="AC81" s="2369"/>
      <c r="AD81" s="2369"/>
      <c r="AE81" s="2369"/>
      <c r="AF81" s="2369"/>
    </row>
    <row r="82" spans="1:78" ht="12.95" customHeight="1">
      <c r="F82" s="522"/>
      <c r="J82" s="522" t="str">
        <f>IF(AB81&gt;0,"FUNDING GAP MUST NOT EXCEED ZERO","")</f>
        <v/>
      </c>
    </row>
    <row r="83" spans="1:78" ht="12.95" customHeight="1">
      <c r="D83" s="523"/>
    </row>
    <row r="84" spans="1:78" ht="12.95" customHeight="1" thickBot="1">
      <c r="A84" s="2334"/>
      <c r="B84" s="2334"/>
      <c r="C84" s="2334"/>
      <c r="D84" s="2334"/>
      <c r="E84" s="2334"/>
      <c r="F84" s="2334"/>
      <c r="G84" s="2334"/>
      <c r="H84" s="2334"/>
      <c r="I84" s="2334"/>
      <c r="J84" s="2334"/>
      <c r="K84" s="2334"/>
      <c r="L84" s="2334"/>
      <c r="M84" s="2334"/>
      <c r="N84" s="2334"/>
      <c r="O84" s="2334"/>
      <c r="P84" s="2334"/>
      <c r="Q84" s="2334"/>
      <c r="R84" s="2334"/>
      <c r="S84" s="2334"/>
      <c r="T84" s="2334"/>
      <c r="U84" s="2334"/>
      <c r="V84" s="2334"/>
      <c r="W84" s="2334"/>
      <c r="X84" s="2334"/>
      <c r="Y84" s="2334"/>
      <c r="Z84" s="2334"/>
      <c r="AA84" s="2334"/>
      <c r="AB84" s="2334"/>
      <c r="AC84" s="2334"/>
      <c r="AD84" s="2334"/>
      <c r="AE84" s="2334"/>
      <c r="AF84" s="2334"/>
      <c r="AG84" s="2334"/>
      <c r="AH84" s="2334"/>
      <c r="AI84" s="2334"/>
      <c r="AJ84" s="2334"/>
      <c r="AK84" s="2334"/>
      <c r="AL84" s="2334"/>
      <c r="AM84" s="2334"/>
      <c r="AN84" s="2334"/>
      <c r="AO84" s="2334"/>
      <c r="AP84" s="2334"/>
      <c r="AQ84" s="2334"/>
      <c r="AR84" s="2334"/>
      <c r="AS84" s="2334"/>
      <c r="AT84" s="2334"/>
      <c r="AU84" s="2334"/>
      <c r="AV84" s="2334"/>
      <c r="AW84" s="2334"/>
      <c r="AX84" s="2334"/>
      <c r="AY84" s="2334"/>
      <c r="AZ84" s="2334"/>
      <c r="BA84" s="2334"/>
      <c r="BB84" s="2334"/>
      <c r="BC84" s="2334"/>
      <c r="BD84" s="2334"/>
      <c r="BE84" s="2334"/>
      <c r="BF84" s="2334"/>
      <c r="BG84" s="2334"/>
      <c r="BH84" s="2334"/>
      <c r="BI84" s="2334"/>
      <c r="BJ84" s="2334"/>
      <c r="BK84" s="2334"/>
      <c r="BL84" s="2334"/>
      <c r="BM84" s="2334"/>
      <c r="BN84" s="2334"/>
      <c r="BO84" s="2334"/>
      <c r="BP84" s="2334"/>
      <c r="BQ84" s="2334"/>
      <c r="BR84" s="2334"/>
      <c r="BS84" s="2334"/>
      <c r="BT84" s="2334"/>
      <c r="BU84" s="2334"/>
      <c r="BV84" s="2334"/>
      <c r="BW84" s="2334"/>
      <c r="BX84" s="2334"/>
    </row>
    <row r="85" spans="1:78" ht="12.95" customHeight="1" thickTop="1"/>
    <row r="86" spans="1:78" ht="12.95" hidden="1" customHeight="1">
      <c r="A86" s="404"/>
      <c r="C86" s="205"/>
    </row>
    <row r="87" spans="1:78" ht="12.95" hidden="1" customHeight="1">
      <c r="D87" s="205"/>
      <c r="AB87" s="2335"/>
      <c r="AC87" s="2335"/>
      <c r="AD87" s="2335"/>
      <c r="AE87" s="2335"/>
      <c r="AF87" s="2335"/>
    </row>
    <row r="88" spans="1:78" ht="12.95" hidden="1" customHeight="1" thickBot="1">
      <c r="D88" s="205"/>
      <c r="AB88" s="2333"/>
      <c r="AC88" s="2333"/>
      <c r="AD88" s="2333"/>
      <c r="AE88" s="2333"/>
      <c r="AF88" s="2333"/>
      <c r="AO88" s="521"/>
      <c r="AP88" s="521"/>
      <c r="AQ88" s="521"/>
      <c r="AR88" s="521"/>
      <c r="AS88" s="521"/>
      <c r="AT88" s="521"/>
      <c r="AU88" s="521"/>
      <c r="AV88" s="521"/>
      <c r="AW88" s="521"/>
      <c r="AX88" s="521"/>
      <c r="AY88" s="521"/>
      <c r="AZ88" s="521"/>
      <c r="BA88" s="521"/>
      <c r="BB88" s="521"/>
      <c r="BC88" s="521"/>
      <c r="BD88" s="521"/>
      <c r="BE88" s="521"/>
      <c r="BF88" s="521"/>
      <c r="BG88" s="521"/>
      <c r="BH88" s="521"/>
      <c r="BI88" s="521"/>
      <c r="BJ88" s="521"/>
      <c r="BK88" s="521"/>
      <c r="BL88" s="521"/>
      <c r="BM88" s="521"/>
      <c r="BN88" s="521"/>
      <c r="BO88" s="521"/>
      <c r="BP88" s="521"/>
      <c r="BQ88" s="521"/>
      <c r="BR88" s="521"/>
      <c r="BS88" s="521"/>
      <c r="BT88" s="521"/>
      <c r="BU88" s="521"/>
      <c r="BV88" s="521"/>
      <c r="BW88" s="521"/>
      <c r="BX88" s="521"/>
      <c r="BY88" s="521"/>
      <c r="BZ88" s="521"/>
    </row>
    <row r="89" spans="1:78" ht="12.95" hidden="1" customHeight="1" thickTop="1"/>
  </sheetData>
  <sheetProtection algorithmName="SHA-512" hashValue="CpsbqRXZl5N+6oGi7fgUPgF2tBa3Fz06Y22A3tVuuwzhXP4HK3ISTaG48jw/8fQAV2YidBMJiwQ/uOcn/iKm5g==" saltValue="Md+l+91cG/xcdbDKpPndcw==" spinCount="100000" sheet="1" objects="1" scenarios="1"/>
  <mergeCells count="139">
    <mergeCell ref="AB77:AF77"/>
    <mergeCell ref="AB78:AF78"/>
    <mergeCell ref="AB79:AF79"/>
    <mergeCell ref="AB81:AF81"/>
    <mergeCell ref="Y67:AC67"/>
    <mergeCell ref="AD67:AH67"/>
    <mergeCell ref="Y68:AC68"/>
    <mergeCell ref="AD68:AH68"/>
    <mergeCell ref="AB72:AF72"/>
    <mergeCell ref="E73:AA75"/>
    <mergeCell ref="Y69:AH69"/>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18" priority="3">
      <formula>AND($T$18&gt;0,OR($C$18="",$C$18="Subtract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9:AF60 AB81:AF81">
    <cfRule type="cellIs" dxfId="16"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0.75</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45"/>
  <sheetViews>
    <sheetView showGridLines="0" topLeftCell="A809" workbookViewId="0">
      <selection activeCell="AF842" sqref="AF842:AK842"/>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5703125" style="14" customWidth="1"/>
    <col min="19" max="19" width="3.28515625" style="14" customWidth="1"/>
    <col min="20" max="26" width="2.42578125" style="14" customWidth="1"/>
    <col min="27" max="30" width="2.5703125" style="14" customWidth="1"/>
    <col min="31" max="32" width="2.42578125" style="14" customWidth="1"/>
    <col min="33" max="33" width="3.42578125" style="14" customWidth="1"/>
    <col min="34" max="36" width="2.42578125" style="14" customWidth="1"/>
    <col min="37" max="37" width="5.5703125" style="14" customWidth="1"/>
    <col min="38" max="38" width="2.42578125" style="14" customWidth="1"/>
    <col min="39" max="39" width="3.42578125" style="14" customWidth="1"/>
    <col min="40" max="40" width="5.5703125" style="534" customWidth="1"/>
    <col min="41" max="41" width="5.5703125" style="30" hidden="1" customWidth="1"/>
    <col min="42" max="45" width="5.5703125" style="14" hidden="1" customWidth="1"/>
    <col min="46" max="46" width="10.85546875" style="14" hidden="1" customWidth="1"/>
    <col min="47" max="48" width="5.5703125" style="14" hidden="1" customWidth="1"/>
    <col min="49" max="49" width="8.7109375" style="14" hidden="1" customWidth="1"/>
    <col min="50" max="50" width="7.42578125" style="14" hidden="1" customWidth="1"/>
    <col min="51" max="55" width="5.5703125" style="14" hidden="1" customWidth="1"/>
    <col min="56" max="60" width="5.5703125" style="32" hidden="1" customWidth="1"/>
    <col min="61" max="81" width="5.5703125" style="14" hidden="1" customWidth="1"/>
    <col min="82" max="16384" width="9.140625" style="14" hidden="1"/>
  </cols>
  <sheetData>
    <row r="1" spans="1:41" ht="15.75" customHeight="1">
      <c r="A1" s="2618" t="s">
        <v>1299</v>
      </c>
      <c r="B1" s="2618"/>
      <c r="C1" s="2618"/>
      <c r="D1" s="2618"/>
      <c r="E1" s="2618"/>
      <c r="F1" s="2618"/>
      <c r="G1" s="2618"/>
      <c r="H1" s="2618"/>
      <c r="I1" s="2618"/>
      <c r="J1" s="2618"/>
      <c r="K1" s="2618"/>
      <c r="L1" s="2618"/>
      <c r="M1" s="2618"/>
      <c r="N1" s="2618"/>
      <c r="O1" s="2618"/>
      <c r="P1" s="2618"/>
      <c r="Q1" s="2618"/>
      <c r="R1" s="2618"/>
      <c r="S1" s="2618"/>
      <c r="T1" s="2618"/>
      <c r="U1" s="2618"/>
      <c r="V1" s="2618"/>
      <c r="W1" s="2618"/>
      <c r="X1" s="2618"/>
      <c r="Y1" s="2618"/>
      <c r="Z1" s="2618"/>
      <c r="AA1" s="2618"/>
      <c r="AB1" s="2618"/>
      <c r="AC1" s="2618"/>
      <c r="AD1" s="2618"/>
      <c r="AE1" s="2618"/>
      <c r="AF1" s="2618"/>
      <c r="AG1" s="2618"/>
      <c r="AH1" s="2618"/>
      <c r="AI1" s="2618"/>
      <c r="AJ1" s="2618"/>
      <c r="AK1" s="2618"/>
      <c r="AL1" s="2618"/>
      <c r="AM1" s="2618"/>
    </row>
    <row r="2" spans="1:41" s="536" customFormat="1" ht="12.75" customHeight="1" thickBot="1">
      <c r="A2" s="2619"/>
      <c r="B2" s="2619"/>
      <c r="C2" s="2619"/>
      <c r="D2" s="2619"/>
      <c r="E2" s="2619"/>
      <c r="F2" s="2619"/>
      <c r="G2" s="2619"/>
      <c r="H2" s="2619"/>
      <c r="I2" s="2619"/>
      <c r="J2" s="2619"/>
      <c r="K2" s="2619"/>
      <c r="L2" s="2619"/>
      <c r="M2" s="2619"/>
      <c r="N2" s="2619"/>
      <c r="O2" s="2619"/>
      <c r="P2" s="2619"/>
      <c r="Q2" s="2619"/>
      <c r="R2" s="2619"/>
      <c r="S2" s="2619"/>
      <c r="T2" s="2619"/>
      <c r="U2" s="2619"/>
      <c r="V2" s="2619"/>
      <c r="W2" s="2619"/>
      <c r="X2" s="2619"/>
      <c r="Y2" s="2619"/>
      <c r="Z2" s="2619"/>
      <c r="AA2" s="2619"/>
      <c r="AB2" s="2619"/>
      <c r="AC2" s="2619"/>
      <c r="AD2" s="2619"/>
      <c r="AE2" s="2619"/>
      <c r="AF2" s="2619"/>
      <c r="AG2" s="2619"/>
      <c r="AH2" s="2619"/>
      <c r="AI2" s="2619"/>
      <c r="AJ2" s="2619"/>
      <c r="AK2" s="2619"/>
      <c r="AL2" s="2619"/>
      <c r="AM2" s="2619"/>
      <c r="AN2" s="535"/>
    </row>
    <row r="3" spans="1:41" s="536" customFormat="1" ht="12.75" customHeight="1" thickTop="1">
      <c r="A3" s="537"/>
      <c r="B3" s="537"/>
      <c r="C3" s="537"/>
      <c r="D3" s="537"/>
      <c r="E3" s="537"/>
      <c r="F3" s="537"/>
      <c r="G3" s="537"/>
      <c r="H3" s="537"/>
      <c r="I3" s="537"/>
      <c r="J3" s="537"/>
      <c r="K3" s="537"/>
      <c r="L3" s="537"/>
      <c r="M3" s="53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5"/>
    </row>
    <row r="4" spans="1:41" s="536" customFormat="1" ht="12.75" customHeight="1">
      <c r="A4" s="538" t="s">
        <v>1300</v>
      </c>
      <c r="B4" s="539" t="s">
        <v>1301</v>
      </c>
      <c r="C4" s="540"/>
      <c r="D4" s="540"/>
      <c r="E4" s="540"/>
      <c r="F4" s="540"/>
      <c r="G4" s="540"/>
      <c r="H4" s="540"/>
      <c r="I4" s="540"/>
      <c r="J4" s="540"/>
      <c r="K4" s="540"/>
      <c r="L4" s="540"/>
      <c r="M4" s="540"/>
      <c r="N4" s="540"/>
      <c r="O4" s="540"/>
      <c r="P4" s="540"/>
      <c r="Q4" s="540"/>
      <c r="R4" s="540"/>
      <c r="S4" s="540"/>
      <c r="T4" s="540"/>
      <c r="U4" s="540"/>
      <c r="V4" s="540"/>
      <c r="W4" s="540"/>
      <c r="X4" s="540"/>
      <c r="Y4" s="540"/>
      <c r="Z4" s="540"/>
      <c r="AA4" s="540"/>
      <c r="AB4" s="540"/>
      <c r="AC4" s="540"/>
      <c r="AD4" s="540"/>
      <c r="AE4" s="540"/>
      <c r="AF4" s="540"/>
      <c r="AG4" s="540"/>
      <c r="AH4" s="540"/>
      <c r="AI4" s="540"/>
      <c r="AJ4" s="540"/>
      <c r="AK4" s="540"/>
      <c r="AL4" s="540"/>
      <c r="AM4" s="540"/>
      <c r="AN4" s="535"/>
    </row>
    <row r="5" spans="1:41" s="536" customFormat="1" ht="12.75" customHeight="1" thickBot="1">
      <c r="A5" s="538"/>
      <c r="B5" s="539"/>
      <c r="C5" s="540"/>
      <c r="D5" s="540"/>
      <c r="E5" s="540"/>
      <c r="F5" s="540"/>
      <c r="G5" s="540"/>
      <c r="H5" s="540"/>
      <c r="I5" s="540"/>
      <c r="J5" s="540"/>
      <c r="K5" s="540"/>
      <c r="L5" s="540"/>
      <c r="M5" s="540"/>
      <c r="N5" s="540"/>
      <c r="O5" s="540"/>
      <c r="P5" s="540"/>
      <c r="Q5" s="540"/>
      <c r="R5" s="540"/>
      <c r="S5" s="540"/>
      <c r="T5" s="540"/>
      <c r="U5" s="540"/>
      <c r="V5" s="540"/>
      <c r="W5" s="540"/>
      <c r="X5" s="540"/>
      <c r="Y5" s="540"/>
      <c r="Z5" s="540"/>
      <c r="AA5" s="540"/>
      <c r="AB5" s="540"/>
      <c r="AC5" s="540"/>
      <c r="AD5" s="540"/>
      <c r="AE5" s="540"/>
      <c r="AF5" s="540"/>
      <c r="AG5" s="540"/>
      <c r="AH5" s="540"/>
      <c r="AI5" s="540"/>
      <c r="AJ5" s="540"/>
      <c r="AK5" s="540"/>
      <c r="AL5" s="540"/>
      <c r="AM5" s="540"/>
      <c r="AN5" s="535"/>
    </row>
    <row r="6" spans="1:41" s="536" customFormat="1" ht="12.75" customHeight="1" thickTop="1">
      <c r="A6" s="541"/>
      <c r="B6" s="541"/>
      <c r="C6" s="541"/>
      <c r="D6" s="541"/>
      <c r="E6" s="541"/>
      <c r="F6" s="541"/>
      <c r="G6" s="541"/>
      <c r="H6" s="541"/>
      <c r="I6" s="541"/>
      <c r="J6" s="541"/>
      <c r="K6" s="541"/>
      <c r="L6" s="541"/>
      <c r="M6" s="541"/>
      <c r="N6" s="541"/>
      <c r="O6" s="541"/>
      <c r="P6" s="541"/>
      <c r="Q6" s="541"/>
      <c r="R6" s="541"/>
      <c r="S6" s="541"/>
      <c r="T6" s="541"/>
      <c r="U6" s="541"/>
      <c r="V6" s="541"/>
      <c r="W6" s="541"/>
      <c r="X6" s="541"/>
      <c r="Y6" s="541"/>
      <c r="Z6" s="541"/>
      <c r="AA6" s="541"/>
      <c r="AB6" s="541"/>
      <c r="AC6" s="541"/>
      <c r="AD6" s="541"/>
      <c r="AE6" s="541"/>
      <c r="AF6" s="541"/>
      <c r="AG6" s="541"/>
      <c r="AH6" s="541"/>
      <c r="AI6" s="541"/>
      <c r="AJ6" s="541"/>
      <c r="AK6" s="541"/>
      <c r="AL6" s="541"/>
      <c r="AM6" s="542"/>
      <c r="AN6" s="535"/>
    </row>
    <row r="7" spans="1:41" s="536" customFormat="1" ht="12.75" customHeight="1">
      <c r="A7" s="538" t="s">
        <v>1302</v>
      </c>
      <c r="B7" s="539" t="s">
        <v>2548</v>
      </c>
      <c r="C7" s="539"/>
      <c r="D7" s="539"/>
      <c r="E7" s="539"/>
      <c r="F7" s="539"/>
      <c r="G7" s="539"/>
      <c r="H7" s="539"/>
      <c r="I7" s="539"/>
      <c r="J7" s="539"/>
      <c r="K7" s="539"/>
      <c r="L7" s="539"/>
      <c r="M7" s="539"/>
      <c r="N7" s="539"/>
      <c r="O7" s="539"/>
      <c r="P7" s="539"/>
      <c r="Q7" s="539"/>
      <c r="R7" s="539"/>
      <c r="S7" s="539"/>
      <c r="T7" s="539"/>
      <c r="U7" s="539"/>
      <c r="V7" s="539"/>
      <c r="W7" s="539"/>
      <c r="X7" s="539"/>
      <c r="Y7" s="539"/>
      <c r="Z7" s="539"/>
      <c r="AA7" s="539"/>
      <c r="AB7" s="539"/>
      <c r="AC7" s="539"/>
      <c r="AD7" s="539"/>
      <c r="AE7" s="2447" t="s">
        <v>1303</v>
      </c>
      <c r="AF7" s="2447"/>
      <c r="AG7" s="2447"/>
      <c r="AH7" s="2447"/>
      <c r="AI7" s="2447"/>
      <c r="AJ7" s="2447"/>
      <c r="AK7" s="2447"/>
      <c r="AL7" s="540"/>
      <c r="AM7" s="540"/>
      <c r="AN7" s="535"/>
    </row>
    <row r="8" spans="1:41" s="536" customFormat="1" ht="12.75" customHeight="1">
      <c r="A8" s="538"/>
      <c r="B8" s="539" t="s">
        <v>2637</v>
      </c>
      <c r="C8" s="539"/>
      <c r="D8" s="539"/>
      <c r="E8" s="539"/>
      <c r="F8" s="539"/>
      <c r="G8" s="539"/>
      <c r="H8" s="539"/>
      <c r="I8" s="539"/>
      <c r="J8" s="539"/>
      <c r="K8" s="539"/>
      <c r="L8" s="539"/>
      <c r="M8" s="539"/>
      <c r="N8" s="539"/>
      <c r="O8" s="539"/>
      <c r="P8" s="539"/>
      <c r="Q8" s="539"/>
      <c r="R8" s="539"/>
      <c r="S8" s="539"/>
      <c r="T8" s="539"/>
      <c r="U8" s="539"/>
      <c r="V8" s="539"/>
      <c r="W8" s="539"/>
      <c r="X8" s="539"/>
      <c r="Y8" s="539"/>
      <c r="Z8" s="539"/>
      <c r="AA8" s="539"/>
      <c r="AB8" s="539"/>
      <c r="AC8" s="539"/>
      <c r="AD8" s="539"/>
      <c r="AE8" s="543"/>
      <c r="AF8" s="543"/>
      <c r="AG8" s="543"/>
      <c r="AH8" s="543"/>
      <c r="AI8" s="543"/>
      <c r="AJ8" s="543"/>
      <c r="AK8" s="543"/>
      <c r="AL8" s="540"/>
      <c r="AM8" s="540"/>
      <c r="AN8" s="535"/>
    </row>
    <row r="9" spans="1:41" s="536" customFormat="1" ht="12.75" customHeight="1">
      <c r="A9" s="538"/>
      <c r="B9" s="539"/>
      <c r="C9" s="539"/>
      <c r="D9" s="539"/>
      <c r="E9" s="539"/>
      <c r="F9" s="539"/>
      <c r="G9" s="539"/>
      <c r="H9" s="539"/>
      <c r="I9" s="539"/>
      <c r="J9" s="539"/>
      <c r="K9" s="539"/>
      <c r="L9" s="539"/>
      <c r="M9" s="539"/>
      <c r="N9" s="539"/>
      <c r="O9" s="539"/>
      <c r="P9" s="539"/>
      <c r="Q9" s="539"/>
      <c r="R9" s="539"/>
      <c r="S9" s="539"/>
      <c r="T9" s="539"/>
      <c r="U9" s="539"/>
      <c r="V9" s="539"/>
      <c r="W9" s="539"/>
      <c r="X9" s="539"/>
      <c r="Y9" s="539"/>
      <c r="Z9" s="539"/>
      <c r="AA9" s="539"/>
      <c r="AB9" s="539"/>
      <c r="AC9" s="539"/>
      <c r="AD9" s="539"/>
      <c r="AE9" s="543"/>
      <c r="AF9" s="543"/>
      <c r="AG9" s="543"/>
      <c r="AH9" s="543"/>
      <c r="AI9" s="543"/>
      <c r="AJ9" s="543"/>
      <c r="AK9" s="543"/>
      <c r="AL9" s="540"/>
      <c r="AM9" s="540"/>
      <c r="AN9" s="535"/>
    </row>
    <row r="10" spans="1:41" s="536" customFormat="1" ht="12.75" customHeight="1">
      <c r="A10" s="539"/>
      <c r="B10" s="539" t="s">
        <v>2551</v>
      </c>
      <c r="C10" s="546"/>
      <c r="D10" s="546"/>
      <c r="E10" s="555"/>
      <c r="F10" s="540"/>
      <c r="G10" s="540"/>
      <c r="H10" s="540"/>
      <c r="I10" s="540"/>
      <c r="J10" s="540"/>
      <c r="K10" s="540"/>
      <c r="L10" s="540"/>
      <c r="M10" s="540"/>
      <c r="N10" s="540"/>
      <c r="O10" s="540"/>
      <c r="P10" s="540"/>
      <c r="Q10" s="540"/>
      <c r="R10" s="540"/>
      <c r="S10" s="540"/>
      <c r="T10" s="540"/>
      <c r="U10" s="540"/>
      <c r="V10" s="540"/>
      <c r="W10" s="540"/>
      <c r="X10" s="540"/>
      <c r="Y10" s="540"/>
      <c r="Z10" s="540"/>
      <c r="AA10" s="540"/>
      <c r="AB10" s="540"/>
      <c r="AC10" s="540"/>
      <c r="AD10" s="540"/>
      <c r="AE10" s="540"/>
      <c r="AF10" s="540"/>
      <c r="AG10" s="540"/>
      <c r="AH10" s="540"/>
      <c r="AI10" s="540"/>
      <c r="AJ10" s="540"/>
      <c r="AK10" s="540"/>
      <c r="AL10" s="540"/>
      <c r="AM10" s="540"/>
      <c r="AN10" s="535"/>
      <c r="AO10" s="554"/>
    </row>
    <row r="11" spans="1:41" s="536" customFormat="1" ht="12.75" customHeight="1">
      <c r="A11" s="546"/>
      <c r="B11" s="546"/>
      <c r="C11" s="546"/>
      <c r="D11" s="546"/>
      <c r="E11" s="556"/>
      <c r="F11" s="540"/>
      <c r="G11" s="540"/>
      <c r="H11" s="540"/>
      <c r="I11" s="540"/>
      <c r="J11" s="540"/>
      <c r="K11" s="540"/>
      <c r="L11" s="540"/>
      <c r="M11" s="540"/>
      <c r="N11" s="540"/>
      <c r="O11" s="540"/>
      <c r="P11" s="540"/>
      <c r="Q11" s="540"/>
      <c r="R11" s="540"/>
      <c r="S11" s="540"/>
      <c r="T11" s="540"/>
      <c r="U11" s="540"/>
      <c r="V11" s="540"/>
      <c r="W11" s="540"/>
      <c r="X11" s="540"/>
      <c r="Y11" s="540"/>
      <c r="Z11" s="540"/>
      <c r="AA11" s="540"/>
      <c r="AB11" s="540"/>
      <c r="AC11" s="540"/>
      <c r="AD11" s="540"/>
      <c r="AE11" s="540"/>
      <c r="AF11" s="540"/>
      <c r="AG11" s="540"/>
      <c r="AH11" s="540"/>
      <c r="AI11" s="540"/>
      <c r="AJ11" s="540"/>
      <c r="AK11" s="540"/>
      <c r="AL11" s="540"/>
      <c r="AM11" s="540"/>
      <c r="AN11" s="535"/>
      <c r="AO11" s="554"/>
    </row>
    <row r="12" spans="1:41" s="536" customFormat="1" ht="12.75" customHeight="1">
      <c r="A12" s="540"/>
      <c r="B12" s="2589" t="s">
        <v>591</v>
      </c>
      <c r="C12" s="2589"/>
      <c r="D12" s="540"/>
      <c r="E12" s="2450" t="s">
        <v>2549</v>
      </c>
      <c r="F12" s="2451"/>
      <c r="G12" s="2451"/>
      <c r="H12" s="2451"/>
      <c r="I12" s="2451"/>
      <c r="J12" s="2451"/>
      <c r="K12" s="2451"/>
      <c r="L12" s="2451"/>
      <c r="M12" s="2451"/>
      <c r="N12" s="2451"/>
      <c r="O12" s="2451"/>
      <c r="P12" s="2451"/>
      <c r="Q12" s="2451"/>
      <c r="R12" s="2451"/>
      <c r="S12" s="2451"/>
      <c r="T12" s="2451"/>
      <c r="U12" s="2451"/>
      <c r="V12" s="2451"/>
      <c r="W12" s="2451"/>
      <c r="X12" s="2451"/>
      <c r="Y12" s="2451"/>
      <c r="Z12" s="2451"/>
      <c r="AA12" s="2451"/>
      <c r="AB12" s="2451"/>
      <c r="AC12" s="2451"/>
      <c r="AD12" s="2451"/>
      <c r="AE12" s="2451"/>
      <c r="AF12" s="2451"/>
      <c r="AG12" s="2451"/>
      <c r="AH12" s="2451"/>
      <c r="AI12" s="2451"/>
      <c r="AJ12" s="2452"/>
      <c r="AK12" s="540"/>
      <c r="AL12" s="540"/>
      <c r="AM12" s="540"/>
      <c r="AN12" s="535"/>
      <c r="AO12" s="557"/>
    </row>
    <row r="13" spans="1:41" s="536" customFormat="1" ht="12.75" customHeight="1">
      <c r="A13" s="540"/>
      <c r="D13" s="546"/>
      <c r="E13" s="2453"/>
      <c r="F13" s="2454"/>
      <c r="G13" s="2454"/>
      <c r="H13" s="2454"/>
      <c r="I13" s="2454"/>
      <c r="J13" s="2454"/>
      <c r="K13" s="2454"/>
      <c r="L13" s="2454"/>
      <c r="M13" s="2454"/>
      <c r="N13" s="2454"/>
      <c r="O13" s="2454"/>
      <c r="P13" s="2454"/>
      <c r="Q13" s="2454"/>
      <c r="R13" s="2454"/>
      <c r="S13" s="2454"/>
      <c r="T13" s="2454"/>
      <c r="U13" s="2454"/>
      <c r="V13" s="2454"/>
      <c r="W13" s="2454"/>
      <c r="X13" s="2454"/>
      <c r="Y13" s="2454"/>
      <c r="Z13" s="2454"/>
      <c r="AA13" s="2454"/>
      <c r="AB13" s="2454"/>
      <c r="AC13" s="2454"/>
      <c r="AD13" s="2454"/>
      <c r="AE13" s="2454"/>
      <c r="AF13" s="2454"/>
      <c r="AG13" s="2454"/>
      <c r="AH13" s="2454"/>
      <c r="AI13" s="2454"/>
      <c r="AJ13" s="2455"/>
      <c r="AK13" s="540"/>
      <c r="AL13" s="540"/>
      <c r="AM13" s="540"/>
      <c r="AN13" s="535"/>
      <c r="AO13" s="557"/>
    </row>
    <row r="14" spans="1:41" s="536" customFormat="1" ht="12.75" customHeight="1">
      <c r="A14" s="540"/>
      <c r="D14" s="540"/>
      <c r="E14" s="2606"/>
      <c r="F14" s="2607"/>
      <c r="G14" s="2607"/>
      <c r="H14" s="2607"/>
      <c r="I14" s="2607"/>
      <c r="J14" s="2607"/>
      <c r="K14" s="2607"/>
      <c r="L14" s="2607"/>
      <c r="M14" s="2607"/>
      <c r="N14" s="2607"/>
      <c r="O14" s="2607"/>
      <c r="P14" s="2607"/>
      <c r="Q14" s="2607"/>
      <c r="R14" s="2607"/>
      <c r="S14" s="2607"/>
      <c r="T14" s="2607"/>
      <c r="U14" s="2607"/>
      <c r="V14" s="2607"/>
      <c r="W14" s="2607"/>
      <c r="X14" s="2607"/>
      <c r="Y14" s="2607"/>
      <c r="Z14" s="2607"/>
      <c r="AA14" s="2607"/>
      <c r="AB14" s="2607"/>
      <c r="AC14" s="2607"/>
      <c r="AD14" s="2607"/>
      <c r="AE14" s="2607"/>
      <c r="AF14" s="2607"/>
      <c r="AG14" s="2607"/>
      <c r="AH14" s="2607"/>
      <c r="AI14" s="2607"/>
      <c r="AJ14" s="2608"/>
      <c r="AK14" s="540"/>
      <c r="AL14" s="540"/>
      <c r="AM14" s="540"/>
      <c r="AN14" s="535"/>
    </row>
    <row r="15" spans="1:41" s="536" customFormat="1" ht="12.75" customHeight="1">
      <c r="A15" s="540"/>
      <c r="B15" s="540"/>
      <c r="C15" s="540"/>
      <c r="D15" s="546"/>
      <c r="E15" s="556"/>
      <c r="F15" s="554"/>
      <c r="G15" s="554"/>
      <c r="H15" s="540"/>
      <c r="I15" s="540"/>
      <c r="J15" s="540"/>
      <c r="K15" s="540"/>
      <c r="L15" s="540"/>
      <c r="M15" s="540"/>
      <c r="N15" s="540"/>
      <c r="O15" s="540"/>
      <c r="P15" s="540"/>
      <c r="Q15" s="540"/>
      <c r="R15" s="540"/>
      <c r="S15" s="540"/>
      <c r="T15" s="540"/>
      <c r="U15" s="540"/>
      <c r="V15" s="540"/>
      <c r="W15" s="540"/>
      <c r="X15" s="540"/>
      <c r="Y15" s="540"/>
      <c r="Z15" s="540"/>
      <c r="AA15" s="540"/>
      <c r="AB15" s="540"/>
      <c r="AC15" s="540"/>
      <c r="AD15" s="540"/>
      <c r="AE15" s="540"/>
      <c r="AF15" s="540"/>
      <c r="AG15" s="540"/>
      <c r="AH15" s="540"/>
      <c r="AI15" s="540"/>
      <c r="AJ15" s="540"/>
      <c r="AK15" s="540"/>
      <c r="AL15" s="540"/>
      <c r="AM15" s="540"/>
      <c r="AN15" s="535"/>
    </row>
    <row r="16" spans="1:41" s="536" customFormat="1" ht="12.75" customHeight="1">
      <c r="A16" s="540"/>
      <c r="B16" s="2589" t="s">
        <v>591</v>
      </c>
      <c r="C16" s="2589"/>
      <c r="D16" s="540"/>
      <c r="E16" s="2450" t="s">
        <v>2550</v>
      </c>
      <c r="F16" s="2451"/>
      <c r="G16" s="2451"/>
      <c r="H16" s="2451"/>
      <c r="I16" s="2451"/>
      <c r="J16" s="2451"/>
      <c r="K16" s="2451"/>
      <c r="L16" s="2451"/>
      <c r="M16" s="2451"/>
      <c r="N16" s="2451"/>
      <c r="O16" s="2451"/>
      <c r="P16" s="2451"/>
      <c r="Q16" s="2451"/>
      <c r="R16" s="2451"/>
      <c r="S16" s="2451"/>
      <c r="T16" s="2451"/>
      <c r="U16" s="2451"/>
      <c r="V16" s="2451"/>
      <c r="W16" s="2451"/>
      <c r="X16" s="2451"/>
      <c r="Y16" s="2451"/>
      <c r="Z16" s="2451"/>
      <c r="AA16" s="2451"/>
      <c r="AB16" s="2451"/>
      <c r="AC16" s="2451"/>
      <c r="AD16" s="2451"/>
      <c r="AE16" s="2451"/>
      <c r="AF16" s="2451"/>
      <c r="AG16" s="2451"/>
      <c r="AH16" s="2451"/>
      <c r="AI16" s="2451"/>
      <c r="AJ16" s="2452"/>
      <c r="AK16" s="540"/>
      <c r="AL16" s="540"/>
      <c r="AM16" s="540"/>
      <c r="AN16" s="535"/>
    </row>
    <row r="17" spans="1:50" s="536" customFormat="1" ht="12.75" customHeight="1">
      <c r="A17" s="540"/>
      <c r="B17" s="540"/>
      <c r="C17" s="540"/>
      <c r="D17" s="540"/>
      <c r="E17" s="2453"/>
      <c r="F17" s="2454"/>
      <c r="G17" s="2454"/>
      <c r="H17" s="2454"/>
      <c r="I17" s="2454"/>
      <c r="J17" s="2454"/>
      <c r="K17" s="2454"/>
      <c r="L17" s="2454"/>
      <c r="M17" s="2454"/>
      <c r="N17" s="2454"/>
      <c r="O17" s="2454"/>
      <c r="P17" s="2454"/>
      <c r="Q17" s="2454"/>
      <c r="R17" s="2454"/>
      <c r="S17" s="2454"/>
      <c r="T17" s="2454"/>
      <c r="U17" s="2454"/>
      <c r="V17" s="2454"/>
      <c r="W17" s="2454"/>
      <c r="X17" s="2454"/>
      <c r="Y17" s="2454"/>
      <c r="Z17" s="2454"/>
      <c r="AA17" s="2454"/>
      <c r="AB17" s="2454"/>
      <c r="AC17" s="2454"/>
      <c r="AD17" s="2454"/>
      <c r="AE17" s="2454"/>
      <c r="AF17" s="2454"/>
      <c r="AG17" s="2454"/>
      <c r="AH17" s="2454"/>
      <c r="AI17" s="2454"/>
      <c r="AJ17" s="2455"/>
      <c r="AK17" s="540"/>
      <c r="AL17" s="540"/>
      <c r="AM17" s="540"/>
      <c r="AN17" s="535"/>
    </row>
    <row r="18" spans="1:50" s="536" customFormat="1" ht="12.75" customHeight="1">
      <c r="A18" s="540"/>
      <c r="B18" s="540"/>
      <c r="C18" s="1135"/>
      <c r="D18" s="540"/>
      <c r="E18" s="2606"/>
      <c r="F18" s="2607"/>
      <c r="G18" s="2607"/>
      <c r="H18" s="2607"/>
      <c r="I18" s="2607"/>
      <c r="J18" s="2607"/>
      <c r="K18" s="2607"/>
      <c r="L18" s="2607"/>
      <c r="M18" s="2607"/>
      <c r="N18" s="2607"/>
      <c r="O18" s="2607"/>
      <c r="P18" s="2607"/>
      <c r="Q18" s="2607"/>
      <c r="R18" s="2607"/>
      <c r="S18" s="2607"/>
      <c r="T18" s="2607"/>
      <c r="U18" s="2607"/>
      <c r="V18" s="2607"/>
      <c r="W18" s="2607"/>
      <c r="X18" s="2607"/>
      <c r="Y18" s="2607"/>
      <c r="Z18" s="2607"/>
      <c r="AA18" s="2607"/>
      <c r="AB18" s="2607"/>
      <c r="AC18" s="2607"/>
      <c r="AD18" s="2607"/>
      <c r="AE18" s="2607"/>
      <c r="AF18" s="2607"/>
      <c r="AG18" s="2607"/>
      <c r="AH18" s="2607"/>
      <c r="AI18" s="2607"/>
      <c r="AJ18" s="2608"/>
      <c r="AK18" s="540"/>
      <c r="AL18" s="540"/>
      <c r="AM18" s="540"/>
      <c r="AN18" s="535"/>
      <c r="AO18" s="554"/>
    </row>
    <row r="19" spans="1:50" s="536" customFormat="1" ht="12.75" customHeight="1">
      <c r="A19" s="540"/>
      <c r="B19" s="540"/>
      <c r="C19" s="540"/>
      <c r="D19" s="546"/>
      <c r="E19" s="558"/>
      <c r="F19" s="554"/>
      <c r="G19" s="554"/>
      <c r="H19" s="540"/>
      <c r="I19" s="540"/>
      <c r="J19" s="540"/>
      <c r="K19" s="540"/>
      <c r="L19" s="540"/>
      <c r="M19" s="540"/>
      <c r="N19" s="540"/>
      <c r="O19" s="540"/>
      <c r="P19" s="540"/>
      <c r="Q19" s="540"/>
      <c r="R19" s="540"/>
      <c r="S19" s="540"/>
      <c r="T19" s="540"/>
      <c r="U19" s="540"/>
      <c r="V19" s="540"/>
      <c r="W19" s="540"/>
      <c r="X19" s="540"/>
      <c r="Y19" s="540"/>
      <c r="Z19" s="540"/>
      <c r="AA19" s="540"/>
      <c r="AB19" s="540"/>
      <c r="AC19" s="540"/>
      <c r="AD19" s="540"/>
      <c r="AE19" s="540"/>
      <c r="AF19" s="540"/>
      <c r="AG19" s="540"/>
      <c r="AH19" s="540"/>
      <c r="AI19" s="540"/>
      <c r="AJ19" s="540"/>
      <c r="AK19" s="540"/>
      <c r="AL19" s="540"/>
      <c r="AM19" s="540"/>
      <c r="AN19" s="535"/>
    </row>
    <row r="20" spans="1:50" s="536" customFormat="1" ht="12.75" customHeight="1">
      <c r="A20" s="540"/>
      <c r="B20" s="2589" t="s">
        <v>591</v>
      </c>
      <c r="C20" s="2589"/>
      <c r="D20" s="540"/>
      <c r="E20" s="2450" t="s">
        <v>1979</v>
      </c>
      <c r="F20" s="2451"/>
      <c r="G20" s="2451"/>
      <c r="H20" s="2451"/>
      <c r="I20" s="2451"/>
      <c r="J20" s="2451"/>
      <c r="K20" s="2451"/>
      <c r="L20" s="2451"/>
      <c r="M20" s="2451"/>
      <c r="N20" s="2451"/>
      <c r="O20" s="2451"/>
      <c r="P20" s="2451"/>
      <c r="Q20" s="2451"/>
      <c r="R20" s="2451"/>
      <c r="S20" s="2451"/>
      <c r="T20" s="2451"/>
      <c r="U20" s="2451"/>
      <c r="V20" s="2451"/>
      <c r="W20" s="2451"/>
      <c r="X20" s="2451"/>
      <c r="Y20" s="2451"/>
      <c r="Z20" s="2451"/>
      <c r="AA20" s="2451"/>
      <c r="AB20" s="2451"/>
      <c r="AC20" s="2451"/>
      <c r="AD20" s="2451"/>
      <c r="AE20" s="2451"/>
      <c r="AF20" s="2451"/>
      <c r="AG20" s="2451"/>
      <c r="AH20" s="2451"/>
      <c r="AI20" s="2451"/>
      <c r="AJ20" s="2452"/>
      <c r="AK20" s="540"/>
      <c r="AL20" s="540"/>
      <c r="AM20" s="540"/>
      <c r="AN20" s="535"/>
    </row>
    <row r="21" spans="1:50" s="536" customFormat="1" ht="12.75" customHeight="1">
      <c r="A21" s="540"/>
      <c r="B21" s="546"/>
      <c r="C21" s="546"/>
      <c r="D21" s="546"/>
      <c r="E21" s="2606"/>
      <c r="F21" s="2607"/>
      <c r="G21" s="2607"/>
      <c r="H21" s="2607"/>
      <c r="I21" s="2607"/>
      <c r="J21" s="2607"/>
      <c r="K21" s="2607"/>
      <c r="L21" s="2607"/>
      <c r="M21" s="2607"/>
      <c r="N21" s="2607"/>
      <c r="O21" s="2607"/>
      <c r="P21" s="2607"/>
      <c r="Q21" s="2607"/>
      <c r="R21" s="2607"/>
      <c r="S21" s="2607"/>
      <c r="T21" s="2607"/>
      <c r="U21" s="2607"/>
      <c r="V21" s="2607"/>
      <c r="W21" s="2607"/>
      <c r="X21" s="2607"/>
      <c r="Y21" s="2607"/>
      <c r="Z21" s="2607"/>
      <c r="AA21" s="2607"/>
      <c r="AB21" s="2607"/>
      <c r="AC21" s="2607"/>
      <c r="AD21" s="2607"/>
      <c r="AE21" s="2607"/>
      <c r="AF21" s="2607"/>
      <c r="AG21" s="2607"/>
      <c r="AH21" s="2607"/>
      <c r="AI21" s="2607"/>
      <c r="AJ21" s="2608"/>
      <c r="AK21" s="540"/>
      <c r="AL21" s="540"/>
      <c r="AM21" s="540"/>
      <c r="AN21" s="535"/>
      <c r="AO21" s="536">
        <f>IF(AND(B12="Yes",B16="Yes",B20="Yes"),10,0)</f>
        <v>0</v>
      </c>
      <c r="AP21" s="536" t="s">
        <v>1305</v>
      </c>
      <c r="AX21" s="539"/>
    </row>
    <row r="22" spans="1:50" s="536" customFormat="1" ht="12.75" customHeight="1">
      <c r="A22" s="540"/>
      <c r="B22" s="546"/>
      <c r="C22" s="546"/>
      <c r="D22" s="546"/>
      <c r="E22" s="558"/>
      <c r="F22" s="540"/>
      <c r="G22" s="540"/>
      <c r="H22" s="540"/>
      <c r="I22" s="540"/>
      <c r="J22" s="540"/>
      <c r="K22" s="540"/>
      <c r="L22" s="540"/>
      <c r="M22" s="540"/>
      <c r="N22" s="540"/>
      <c r="O22" s="540"/>
      <c r="P22" s="540"/>
      <c r="Q22" s="540"/>
      <c r="R22" s="540"/>
      <c r="S22" s="540"/>
      <c r="T22" s="540"/>
      <c r="U22" s="540"/>
      <c r="V22" s="540"/>
      <c r="W22" s="540"/>
      <c r="X22" s="540"/>
      <c r="Y22" s="540"/>
      <c r="Z22" s="540"/>
      <c r="AA22" s="540"/>
      <c r="AB22" s="540"/>
      <c r="AC22" s="540"/>
      <c r="AD22" s="540"/>
      <c r="AE22" s="540"/>
      <c r="AF22" s="540"/>
      <c r="AG22" s="540"/>
      <c r="AH22" s="540"/>
      <c r="AI22" s="540"/>
      <c r="AJ22" s="540"/>
      <c r="AK22" s="540"/>
      <c r="AL22" s="540"/>
      <c r="AM22" s="540"/>
      <c r="AN22" s="535"/>
      <c r="AX22" s="539"/>
    </row>
    <row r="23" spans="1:50" s="536" customFormat="1" ht="12.75" customHeight="1">
      <c r="A23" s="538"/>
      <c r="B23" s="1196" t="s">
        <v>2638</v>
      </c>
      <c r="C23" s="539"/>
      <c r="D23" s="539"/>
      <c r="E23" s="539"/>
      <c r="F23" s="539"/>
      <c r="G23" s="539"/>
      <c r="H23" s="539"/>
      <c r="I23" s="539"/>
      <c r="J23" s="539"/>
      <c r="K23" s="539"/>
      <c r="L23" s="539"/>
      <c r="M23" s="539"/>
      <c r="N23" s="539"/>
      <c r="O23" s="539"/>
      <c r="P23" s="539"/>
      <c r="Q23" s="539"/>
      <c r="R23" s="539"/>
      <c r="S23" s="539"/>
      <c r="T23" s="539"/>
      <c r="U23" s="539"/>
      <c r="V23" s="539"/>
      <c r="W23" s="539"/>
      <c r="X23" s="539"/>
      <c r="Y23" s="539"/>
      <c r="Z23" s="539"/>
      <c r="AA23" s="539"/>
      <c r="AB23" s="539"/>
      <c r="AC23" s="539"/>
      <c r="AD23" s="539"/>
      <c r="AE23" s="543"/>
      <c r="AF23" s="543"/>
      <c r="AG23" s="543"/>
      <c r="AH23" s="543"/>
      <c r="AI23" s="543"/>
      <c r="AJ23" s="543"/>
      <c r="AK23" s="543"/>
      <c r="AL23" s="540"/>
      <c r="AM23" s="540"/>
      <c r="AN23" s="535"/>
    </row>
    <row r="24" spans="1:50" s="536" customFormat="1" ht="12.75" customHeight="1">
      <c r="A24" s="540"/>
      <c r="C24" s="1198" t="s">
        <v>2552</v>
      </c>
      <c r="D24" s="1135"/>
      <c r="E24" s="1135"/>
      <c r="F24" s="1135"/>
      <c r="G24" s="1135"/>
      <c r="H24" s="1135"/>
      <c r="I24" s="1135"/>
      <c r="J24" s="1135"/>
      <c r="K24" s="1135"/>
      <c r="L24" s="1135"/>
      <c r="M24" s="1135"/>
      <c r="N24" s="1135"/>
      <c r="O24" s="1135"/>
      <c r="P24" s="1135"/>
      <c r="Q24" s="1135"/>
      <c r="R24" s="1135"/>
      <c r="S24" s="1135"/>
      <c r="T24" s="1135"/>
      <c r="U24" s="1135"/>
      <c r="V24" s="1135"/>
      <c r="W24" s="1135"/>
      <c r="X24" s="1135"/>
      <c r="Y24" s="1135"/>
      <c r="Z24" s="1135"/>
      <c r="AA24" s="1135"/>
      <c r="AB24" s="1135"/>
      <c r="AC24" s="1135"/>
      <c r="AD24" s="1135"/>
      <c r="AE24" s="1135"/>
      <c r="AF24" s="1135"/>
      <c r="AG24" s="1135"/>
      <c r="AH24" s="1135"/>
      <c r="AI24" s="1135"/>
      <c r="AJ24" s="1135"/>
      <c r="AK24" s="540"/>
      <c r="AL24" s="540"/>
      <c r="AM24" s="540"/>
      <c r="AN24" s="535"/>
      <c r="AO24" s="447"/>
      <c r="AP24" s="544"/>
    </row>
    <row r="25" spans="1:50" s="536" customFormat="1" ht="12.75" customHeight="1">
      <c r="A25" s="540"/>
      <c r="B25" s="545"/>
      <c r="C25" s="540"/>
      <c r="D25" s="540"/>
      <c r="E25" s="540"/>
      <c r="F25" s="540"/>
      <c r="G25" s="540"/>
      <c r="H25" s="540"/>
      <c r="I25" s="540"/>
      <c r="J25" s="540"/>
      <c r="K25" s="540"/>
      <c r="L25" s="540"/>
      <c r="M25" s="540"/>
      <c r="N25" s="540"/>
      <c r="O25" s="540"/>
      <c r="P25" s="540"/>
      <c r="Q25" s="540"/>
      <c r="R25" s="540"/>
      <c r="S25" s="540"/>
      <c r="T25" s="540"/>
      <c r="U25" s="540"/>
      <c r="V25" s="540"/>
      <c r="W25" s="540"/>
      <c r="X25" s="540"/>
      <c r="Y25" s="540"/>
      <c r="Z25" s="540"/>
      <c r="AA25" s="540"/>
      <c r="AB25" s="540"/>
      <c r="AC25" s="540"/>
      <c r="AD25" s="540"/>
      <c r="AE25" s="540"/>
      <c r="AF25" s="540"/>
      <c r="AG25" s="540"/>
      <c r="AH25" s="540"/>
      <c r="AI25" s="540"/>
      <c r="AJ25" s="540"/>
      <c r="AK25" s="540"/>
      <c r="AL25" s="540"/>
      <c r="AM25" s="540"/>
      <c r="AN25" s="535"/>
      <c r="AP25" s="14"/>
    </row>
    <row r="26" spans="1:50" s="536" customFormat="1" ht="12.75" customHeight="1">
      <c r="A26" s="540"/>
      <c r="B26" s="2589" t="s">
        <v>591</v>
      </c>
      <c r="C26" s="2589"/>
      <c r="D26" s="546"/>
      <c r="E26" s="547" t="s">
        <v>1304</v>
      </c>
      <c r="F26" s="548"/>
      <c r="G26" s="548"/>
      <c r="H26" s="548"/>
      <c r="I26" s="548"/>
      <c r="J26" s="548"/>
      <c r="K26" s="548"/>
      <c r="L26" s="548"/>
      <c r="M26" s="548"/>
      <c r="N26" s="548"/>
      <c r="O26" s="548"/>
      <c r="P26" s="548"/>
      <c r="Q26" s="548"/>
      <c r="R26" s="548"/>
      <c r="S26" s="548"/>
      <c r="T26" s="548"/>
      <c r="U26" s="548"/>
      <c r="V26" s="548"/>
      <c r="W26" s="548"/>
      <c r="X26" s="548"/>
      <c r="Y26" s="548"/>
      <c r="Z26" s="548"/>
      <c r="AA26" s="548"/>
      <c r="AB26" s="548"/>
      <c r="AC26" s="548"/>
      <c r="AD26" s="548"/>
      <c r="AE26" s="548"/>
      <c r="AF26" s="548"/>
      <c r="AG26" s="2620"/>
      <c r="AH26" s="2620"/>
      <c r="AI26" s="2620"/>
      <c r="AJ26" s="2621"/>
      <c r="AK26" s="540"/>
      <c r="AL26" s="540"/>
      <c r="AM26" s="540"/>
      <c r="AN26" s="535"/>
      <c r="AO26" s="536">
        <f>IF($B26="yes",20,0)</f>
        <v>0</v>
      </c>
      <c r="AP26" s="14" t="s">
        <v>1305</v>
      </c>
    </row>
    <row r="27" spans="1:50" s="536" customFormat="1" ht="12.75" customHeight="1">
      <c r="A27" s="540"/>
      <c r="B27" s="540"/>
      <c r="C27" s="540"/>
      <c r="D27" s="14"/>
      <c r="E27" s="540"/>
      <c r="F27" s="540"/>
      <c r="G27" s="540"/>
      <c r="H27" s="540"/>
      <c r="I27" s="540"/>
      <c r="J27" s="540"/>
      <c r="K27" s="540"/>
      <c r="L27" s="540"/>
      <c r="M27" s="540"/>
      <c r="N27" s="540"/>
      <c r="O27" s="540"/>
      <c r="P27" s="540"/>
      <c r="Q27" s="540"/>
      <c r="R27" s="540"/>
      <c r="S27" s="540"/>
      <c r="T27" s="540"/>
      <c r="U27" s="540"/>
      <c r="V27" s="540"/>
      <c r="W27" s="540"/>
      <c r="X27" s="540"/>
      <c r="Y27" s="540"/>
      <c r="Z27" s="540"/>
      <c r="AA27" s="540"/>
      <c r="AB27" s="540"/>
      <c r="AC27" s="540"/>
      <c r="AD27" s="540"/>
      <c r="AE27" s="540"/>
      <c r="AF27" s="540"/>
      <c r="AG27" s="540"/>
      <c r="AH27" s="540"/>
      <c r="AI27" s="540"/>
      <c r="AJ27" s="540"/>
      <c r="AK27" s="540"/>
      <c r="AL27" s="540"/>
      <c r="AM27" s="540"/>
      <c r="AN27" s="535"/>
      <c r="AO27" s="549"/>
      <c r="AP27" s="14"/>
    </row>
    <row r="28" spans="1:50" s="536" customFormat="1" ht="12.75" customHeight="1">
      <c r="A28" s="540"/>
      <c r="B28" s="540"/>
      <c r="C28" s="1197" t="s">
        <v>2553</v>
      </c>
      <c r="D28" s="549"/>
      <c r="E28" s="540"/>
      <c r="F28" s="540"/>
      <c r="G28" s="540"/>
      <c r="H28" s="540"/>
      <c r="I28" s="540"/>
      <c r="J28" s="540"/>
      <c r="K28" s="540"/>
      <c r="L28" s="540"/>
      <c r="M28" s="540"/>
      <c r="N28" s="540"/>
      <c r="O28" s="540"/>
      <c r="P28" s="540"/>
      <c r="Q28" s="540"/>
      <c r="R28" s="540"/>
      <c r="S28" s="540"/>
      <c r="T28" s="540"/>
      <c r="U28" s="540"/>
      <c r="V28" s="540"/>
      <c r="W28" s="540"/>
      <c r="X28" s="540"/>
      <c r="Y28" s="540"/>
      <c r="Z28" s="540"/>
      <c r="AA28" s="540"/>
      <c r="AB28" s="540"/>
      <c r="AC28" s="540"/>
      <c r="AD28" s="540"/>
      <c r="AE28" s="540"/>
      <c r="AF28" s="540"/>
      <c r="AG28" s="540"/>
      <c r="AH28" s="540"/>
      <c r="AI28" s="540"/>
      <c r="AJ28" s="540"/>
      <c r="AK28" s="540"/>
      <c r="AL28" s="540"/>
      <c r="AM28" s="540"/>
      <c r="AN28" s="535"/>
      <c r="AO28" s="549"/>
      <c r="AP28" s="14"/>
    </row>
    <row r="29" spans="1:50" s="536" customFormat="1" ht="12.75" customHeight="1">
      <c r="A29" s="540"/>
      <c r="B29" s="540"/>
      <c r="C29" s="1197"/>
      <c r="D29" s="549"/>
      <c r="E29" s="540"/>
      <c r="F29" s="540"/>
      <c r="G29" s="540"/>
      <c r="H29" s="540"/>
      <c r="I29" s="540"/>
      <c r="J29" s="540"/>
      <c r="K29" s="540"/>
      <c r="L29" s="540"/>
      <c r="M29" s="540"/>
      <c r="N29" s="540"/>
      <c r="O29" s="540"/>
      <c r="P29" s="540"/>
      <c r="Q29" s="540"/>
      <c r="R29" s="540"/>
      <c r="S29" s="540"/>
      <c r="T29" s="540"/>
      <c r="U29" s="540"/>
      <c r="V29" s="540"/>
      <c r="W29" s="540"/>
      <c r="X29" s="540"/>
      <c r="Y29" s="540"/>
      <c r="Z29" s="540"/>
      <c r="AA29" s="540"/>
      <c r="AB29" s="540"/>
      <c r="AC29" s="540"/>
      <c r="AD29" s="540"/>
      <c r="AE29" s="540"/>
      <c r="AF29" s="540"/>
      <c r="AG29" s="540"/>
      <c r="AH29" s="540"/>
      <c r="AI29" s="540"/>
      <c r="AJ29" s="540"/>
      <c r="AK29" s="540"/>
      <c r="AL29" s="540"/>
      <c r="AM29" s="540"/>
      <c r="AN29" s="535"/>
      <c r="AO29" s="549"/>
      <c r="AP29" s="14"/>
    </row>
    <row r="30" spans="1:50" s="536" customFormat="1" ht="12.75" customHeight="1">
      <c r="A30" s="540"/>
      <c r="B30" s="2589" t="s">
        <v>591</v>
      </c>
      <c r="C30" s="2589"/>
      <c r="D30" s="546"/>
      <c r="E30" s="2622" t="s">
        <v>2639</v>
      </c>
      <c r="F30" s="2623"/>
      <c r="G30" s="2623"/>
      <c r="H30" s="2623"/>
      <c r="I30" s="2623"/>
      <c r="J30" s="2623"/>
      <c r="K30" s="2623"/>
      <c r="L30" s="2623"/>
      <c r="M30" s="2623"/>
      <c r="N30" s="2623"/>
      <c r="O30" s="2623"/>
      <c r="P30" s="2623"/>
      <c r="Q30" s="2623"/>
      <c r="R30" s="2623"/>
      <c r="S30" s="2623"/>
      <c r="T30" s="2623"/>
      <c r="U30" s="2623"/>
      <c r="V30" s="2623"/>
      <c r="W30" s="2623"/>
      <c r="X30" s="2623"/>
      <c r="Y30" s="2623"/>
      <c r="Z30" s="2623"/>
      <c r="AA30" s="2623"/>
      <c r="AB30" s="2623"/>
      <c r="AC30" s="2623"/>
      <c r="AD30" s="2623"/>
      <c r="AE30" s="2623"/>
      <c r="AF30" s="2623"/>
      <c r="AG30" s="2623"/>
      <c r="AH30" s="2623"/>
      <c r="AI30" s="2623"/>
      <c r="AJ30" s="2624"/>
      <c r="AK30" s="540"/>
      <c r="AL30" s="540"/>
      <c r="AM30" s="540"/>
      <c r="AN30" s="535"/>
      <c r="AO30" s="549">
        <f>IF($B30="yes",9,0)</f>
        <v>0</v>
      </c>
    </row>
    <row r="31" spans="1:50" s="536" customFormat="1" ht="12.75" customHeight="1">
      <c r="A31" s="540"/>
      <c r="B31" s="540"/>
      <c r="C31" s="540"/>
      <c r="E31" s="2628"/>
      <c r="F31" s="2629"/>
      <c r="G31" s="2629"/>
      <c r="H31" s="2629"/>
      <c r="I31" s="2629"/>
      <c r="J31" s="2629"/>
      <c r="K31" s="2629"/>
      <c r="L31" s="2629"/>
      <c r="M31" s="2629"/>
      <c r="N31" s="2629"/>
      <c r="O31" s="2629"/>
      <c r="P31" s="2629"/>
      <c r="Q31" s="2629"/>
      <c r="R31" s="2629"/>
      <c r="S31" s="2629"/>
      <c r="T31" s="2629"/>
      <c r="U31" s="2629"/>
      <c r="V31" s="2629"/>
      <c r="W31" s="2629"/>
      <c r="X31" s="2629"/>
      <c r="Y31" s="2629"/>
      <c r="Z31" s="2629"/>
      <c r="AA31" s="2629"/>
      <c r="AB31" s="2629"/>
      <c r="AC31" s="2629"/>
      <c r="AD31" s="2629"/>
      <c r="AE31" s="2629"/>
      <c r="AF31" s="2629"/>
      <c r="AG31" s="2629"/>
      <c r="AH31" s="2629"/>
      <c r="AI31" s="2629"/>
      <c r="AJ31" s="2630"/>
      <c r="AK31" s="540"/>
      <c r="AL31" s="540"/>
      <c r="AM31" s="540"/>
      <c r="AN31" s="535"/>
      <c r="AO31" s="549">
        <f>IF($B33="yes",9,0)</f>
        <v>0</v>
      </c>
    </row>
    <row r="32" spans="1:50" s="536" customFormat="1" ht="12.75" customHeight="1">
      <c r="A32" s="540"/>
      <c r="B32" s="540"/>
      <c r="C32" s="540"/>
      <c r="F32" s="902"/>
      <c r="G32" s="902"/>
      <c r="H32" s="902"/>
      <c r="I32" s="902"/>
      <c r="J32" s="902"/>
      <c r="K32" s="902"/>
      <c r="L32" s="902"/>
      <c r="M32" s="902"/>
      <c r="N32" s="902"/>
      <c r="O32" s="902"/>
      <c r="P32" s="902"/>
      <c r="Q32" s="902"/>
      <c r="R32" s="902"/>
      <c r="S32" s="902"/>
      <c r="T32" s="902"/>
      <c r="U32" s="902"/>
      <c r="V32" s="902"/>
      <c r="W32" s="902"/>
      <c r="X32" s="902"/>
      <c r="Y32" s="902"/>
      <c r="Z32" s="902"/>
      <c r="AA32" s="902"/>
      <c r="AB32" s="902"/>
      <c r="AC32" s="902"/>
      <c r="AD32" s="902"/>
      <c r="AE32" s="902"/>
      <c r="AF32" s="902"/>
      <c r="AG32" s="902"/>
      <c r="AH32" s="902"/>
      <c r="AI32" s="902"/>
      <c r="AJ32" s="902"/>
      <c r="AK32" s="540"/>
      <c r="AL32" s="540"/>
      <c r="AM32" s="540"/>
      <c r="AN32" s="535"/>
      <c r="AO32" s="549">
        <f>IF($B37="yes",9,0)</f>
        <v>0</v>
      </c>
    </row>
    <row r="33" spans="1:43" s="536" customFormat="1" ht="12.75" customHeight="1">
      <c r="A33" s="540"/>
      <c r="B33" s="2589" t="s">
        <v>591</v>
      </c>
      <c r="C33" s="2589"/>
      <c r="D33" s="546"/>
      <c r="E33" s="2622" t="s">
        <v>2556</v>
      </c>
      <c r="F33" s="2623"/>
      <c r="G33" s="2623"/>
      <c r="H33" s="2623"/>
      <c r="I33" s="2623"/>
      <c r="J33" s="2623"/>
      <c r="K33" s="2623"/>
      <c r="L33" s="2623"/>
      <c r="M33" s="2623"/>
      <c r="N33" s="2623"/>
      <c r="O33" s="2623"/>
      <c r="P33" s="2623"/>
      <c r="Q33" s="2623"/>
      <c r="R33" s="2623"/>
      <c r="S33" s="2623"/>
      <c r="T33" s="2623"/>
      <c r="U33" s="2623"/>
      <c r="V33" s="2623"/>
      <c r="W33" s="2623"/>
      <c r="X33" s="2623"/>
      <c r="Y33" s="2623"/>
      <c r="Z33" s="2623"/>
      <c r="AA33" s="2623"/>
      <c r="AB33" s="2623"/>
      <c r="AC33" s="2623"/>
      <c r="AD33" s="2623"/>
      <c r="AE33" s="2623"/>
      <c r="AF33" s="2623"/>
      <c r="AG33" s="2623"/>
      <c r="AH33" s="2623"/>
      <c r="AI33" s="2623"/>
      <c r="AJ33" s="2624"/>
      <c r="AK33" s="540"/>
      <c r="AL33" s="540"/>
      <c r="AM33" s="540"/>
      <c r="AN33" s="535"/>
      <c r="AO33" s="549">
        <f>IF($B39="yes",9,0)</f>
        <v>0</v>
      </c>
    </row>
    <row r="34" spans="1:43" s="536" customFormat="1" ht="12.75" customHeight="1">
      <c r="A34" s="540"/>
      <c r="B34" s="540"/>
      <c r="C34" s="540"/>
      <c r="D34" s="546"/>
      <c r="E34" s="2625"/>
      <c r="F34" s="2626"/>
      <c r="G34" s="2626"/>
      <c r="H34" s="2626"/>
      <c r="I34" s="2626"/>
      <c r="J34" s="2626"/>
      <c r="K34" s="2626"/>
      <c r="L34" s="2626"/>
      <c r="M34" s="2626"/>
      <c r="N34" s="2626"/>
      <c r="O34" s="2626"/>
      <c r="P34" s="2626"/>
      <c r="Q34" s="2626"/>
      <c r="R34" s="2626"/>
      <c r="S34" s="2626"/>
      <c r="T34" s="2626"/>
      <c r="U34" s="2626"/>
      <c r="V34" s="2626"/>
      <c r="W34" s="2626"/>
      <c r="X34" s="2626"/>
      <c r="Y34" s="2626"/>
      <c r="Z34" s="2626"/>
      <c r="AA34" s="2626"/>
      <c r="AB34" s="2626"/>
      <c r="AC34" s="2626"/>
      <c r="AD34" s="2626"/>
      <c r="AE34" s="2626"/>
      <c r="AF34" s="2626"/>
      <c r="AG34" s="2626"/>
      <c r="AH34" s="2626"/>
      <c r="AI34" s="2626"/>
      <c r="AJ34" s="2627"/>
      <c r="AK34" s="540"/>
      <c r="AL34" s="540"/>
      <c r="AM34" s="540"/>
      <c r="AN34" s="535"/>
      <c r="AO34" s="536">
        <f>MAX(AO30,AO31,AO32,AO33)</f>
        <v>0</v>
      </c>
      <c r="AP34" s="536" t="s">
        <v>1305</v>
      </c>
    </row>
    <row r="35" spans="1:43" s="536" customFormat="1" ht="12.75" customHeight="1">
      <c r="A35" s="540"/>
      <c r="B35" s="540"/>
      <c r="C35" s="540"/>
      <c r="E35" s="2628"/>
      <c r="F35" s="2629"/>
      <c r="G35" s="2629"/>
      <c r="H35" s="2629"/>
      <c r="I35" s="2629"/>
      <c r="J35" s="2629"/>
      <c r="K35" s="2629"/>
      <c r="L35" s="2629"/>
      <c r="M35" s="2629"/>
      <c r="N35" s="2629"/>
      <c r="O35" s="2629"/>
      <c r="P35" s="2629"/>
      <c r="Q35" s="2629"/>
      <c r="R35" s="2629"/>
      <c r="S35" s="2629"/>
      <c r="T35" s="2629"/>
      <c r="U35" s="2629"/>
      <c r="V35" s="2629"/>
      <c r="W35" s="2629"/>
      <c r="X35" s="2629"/>
      <c r="Y35" s="2629"/>
      <c r="Z35" s="2629"/>
      <c r="AA35" s="2629"/>
      <c r="AB35" s="2629"/>
      <c r="AC35" s="2629"/>
      <c r="AD35" s="2629"/>
      <c r="AE35" s="2629"/>
      <c r="AF35" s="2629"/>
      <c r="AG35" s="2629"/>
      <c r="AH35" s="2629"/>
      <c r="AI35" s="2629"/>
      <c r="AJ35" s="2630"/>
      <c r="AK35" s="540"/>
      <c r="AL35" s="540"/>
      <c r="AM35" s="540"/>
      <c r="AN35" s="535"/>
    </row>
    <row r="36" spans="1:43" s="536" customFormat="1" ht="12.75" customHeight="1">
      <c r="A36" s="540"/>
      <c r="B36" s="540"/>
      <c r="C36" s="540"/>
      <c r="F36" s="902"/>
      <c r="G36" s="902"/>
      <c r="H36" s="902"/>
      <c r="I36" s="902"/>
      <c r="J36" s="902"/>
      <c r="K36" s="902"/>
      <c r="L36" s="902"/>
      <c r="M36" s="902"/>
      <c r="N36" s="902"/>
      <c r="O36" s="902"/>
      <c r="P36" s="902"/>
      <c r="Q36" s="902"/>
      <c r="R36" s="902"/>
      <c r="S36" s="902"/>
      <c r="T36" s="902"/>
      <c r="U36" s="902"/>
      <c r="V36" s="902"/>
      <c r="W36" s="902"/>
      <c r="X36" s="902"/>
      <c r="Y36" s="902"/>
      <c r="Z36" s="902"/>
      <c r="AA36" s="902"/>
      <c r="AB36" s="902"/>
      <c r="AC36" s="902"/>
      <c r="AD36" s="902"/>
      <c r="AE36" s="902"/>
      <c r="AF36" s="902"/>
      <c r="AG36" s="902"/>
      <c r="AH36" s="902"/>
      <c r="AI36" s="902"/>
      <c r="AJ36" s="902"/>
      <c r="AK36" s="540"/>
      <c r="AL36" s="540"/>
      <c r="AM36" s="540"/>
      <c r="AN36" s="535"/>
    </row>
    <row r="37" spans="1:43" s="536" customFormat="1" ht="12.75" customHeight="1">
      <c r="A37" s="540"/>
      <c r="B37" s="2589" t="s">
        <v>591</v>
      </c>
      <c r="C37" s="2589"/>
      <c r="D37" s="1136"/>
      <c r="E37" s="2615" t="s">
        <v>2558</v>
      </c>
      <c r="F37" s="2616"/>
      <c r="G37" s="2616"/>
      <c r="H37" s="2616"/>
      <c r="I37" s="2616"/>
      <c r="J37" s="2616"/>
      <c r="K37" s="2616"/>
      <c r="L37" s="2616"/>
      <c r="M37" s="2616"/>
      <c r="N37" s="2616"/>
      <c r="O37" s="2616"/>
      <c r="P37" s="2616"/>
      <c r="Q37" s="2616"/>
      <c r="R37" s="2616"/>
      <c r="S37" s="2616"/>
      <c r="T37" s="2616"/>
      <c r="U37" s="2616"/>
      <c r="V37" s="2616"/>
      <c r="W37" s="2616"/>
      <c r="X37" s="2616"/>
      <c r="Y37" s="2616"/>
      <c r="Z37" s="2616"/>
      <c r="AA37" s="2616"/>
      <c r="AB37" s="2616"/>
      <c r="AC37" s="2616"/>
      <c r="AD37" s="2616"/>
      <c r="AE37" s="2616"/>
      <c r="AF37" s="2616"/>
      <c r="AG37" s="2616"/>
      <c r="AH37" s="2616"/>
      <c r="AI37" s="2616"/>
      <c r="AJ37" s="2617"/>
      <c r="AK37" s="1136"/>
      <c r="AL37" s="540"/>
      <c r="AM37" s="540"/>
      <c r="AN37" s="535"/>
    </row>
    <row r="38" spans="1:43" s="536" customFormat="1" ht="12.75" customHeight="1">
      <c r="A38" s="540"/>
      <c r="B38" s="540"/>
      <c r="C38" s="540"/>
      <c r="E38" s="540"/>
      <c r="F38" s="540"/>
      <c r="G38" s="540"/>
      <c r="H38" s="540"/>
      <c r="I38" s="540"/>
      <c r="J38" s="540"/>
      <c r="K38" s="540"/>
      <c r="L38" s="540"/>
      <c r="M38" s="540"/>
      <c r="N38" s="540"/>
      <c r="O38" s="540"/>
      <c r="P38" s="540"/>
      <c r="Q38" s="540"/>
      <c r="R38" s="540"/>
      <c r="S38" s="540"/>
      <c r="T38" s="540"/>
      <c r="U38" s="540"/>
      <c r="V38" s="540"/>
      <c r="W38" s="540"/>
      <c r="X38" s="540"/>
      <c r="Y38" s="540"/>
      <c r="Z38" s="540"/>
      <c r="AA38" s="540"/>
      <c r="AB38" s="540"/>
      <c r="AC38" s="540"/>
      <c r="AD38" s="540"/>
      <c r="AE38" s="540"/>
      <c r="AF38" s="540"/>
      <c r="AG38" s="540"/>
      <c r="AH38" s="540"/>
      <c r="AI38" s="540"/>
      <c r="AJ38" s="540"/>
      <c r="AK38" s="540"/>
      <c r="AL38" s="540"/>
      <c r="AM38" s="540"/>
      <c r="AN38" s="535"/>
      <c r="AO38" s="554"/>
    </row>
    <row r="39" spans="1:43" s="536" customFormat="1" ht="12.75" customHeight="1">
      <c r="A39" s="540"/>
      <c r="B39" s="2589" t="s">
        <v>591</v>
      </c>
      <c r="C39" s="2589"/>
      <c r="D39" s="1136"/>
      <c r="E39" s="2615" t="s">
        <v>2557</v>
      </c>
      <c r="F39" s="2616"/>
      <c r="G39" s="2616"/>
      <c r="H39" s="2616"/>
      <c r="I39" s="2616"/>
      <c r="J39" s="2616"/>
      <c r="K39" s="2616"/>
      <c r="L39" s="2616"/>
      <c r="M39" s="2616"/>
      <c r="N39" s="2616"/>
      <c r="O39" s="2616"/>
      <c r="P39" s="2616"/>
      <c r="Q39" s="2616"/>
      <c r="R39" s="2616"/>
      <c r="S39" s="2616"/>
      <c r="T39" s="2616"/>
      <c r="U39" s="2616"/>
      <c r="V39" s="2616"/>
      <c r="W39" s="2616"/>
      <c r="X39" s="2616"/>
      <c r="Y39" s="2616"/>
      <c r="Z39" s="2616"/>
      <c r="AA39" s="2616"/>
      <c r="AB39" s="2616"/>
      <c r="AC39" s="2616"/>
      <c r="AD39" s="2616"/>
      <c r="AE39" s="2616"/>
      <c r="AF39" s="2616"/>
      <c r="AG39" s="2616"/>
      <c r="AH39" s="2616"/>
      <c r="AI39" s="2616"/>
      <c r="AJ39" s="2617"/>
      <c r="AK39" s="1136"/>
      <c r="AL39" s="540"/>
      <c r="AM39" s="540"/>
      <c r="AN39" s="535"/>
    </row>
    <row r="40" spans="1:43" s="536" customFormat="1" ht="12.75" customHeight="1">
      <c r="A40" s="540"/>
      <c r="B40" s="540"/>
      <c r="C40" s="540"/>
      <c r="E40" s="540"/>
      <c r="F40" s="540"/>
      <c r="G40" s="540"/>
      <c r="H40" s="540"/>
      <c r="I40" s="540"/>
      <c r="J40" s="540"/>
      <c r="K40" s="540"/>
      <c r="L40" s="540"/>
      <c r="M40" s="540"/>
      <c r="N40" s="540"/>
      <c r="O40" s="540"/>
      <c r="P40" s="540"/>
      <c r="Q40" s="540"/>
      <c r="R40" s="540"/>
      <c r="S40" s="540"/>
      <c r="T40" s="540"/>
      <c r="U40" s="540"/>
      <c r="V40" s="540"/>
      <c r="W40" s="540"/>
      <c r="X40" s="540"/>
      <c r="Y40" s="540"/>
      <c r="Z40" s="540"/>
      <c r="AA40" s="540"/>
      <c r="AB40" s="540"/>
      <c r="AC40" s="540"/>
      <c r="AD40" s="540"/>
      <c r="AE40" s="540"/>
      <c r="AF40" s="540"/>
      <c r="AG40" s="540"/>
      <c r="AH40" s="540"/>
      <c r="AI40" s="540"/>
      <c r="AJ40" s="540"/>
      <c r="AK40" s="540"/>
      <c r="AL40" s="540"/>
      <c r="AM40" s="540"/>
      <c r="AN40" s="535"/>
    </row>
    <row r="41" spans="1:43" s="536" customFormat="1" ht="12.75" customHeight="1">
      <c r="A41" s="540"/>
      <c r="B41" s="540"/>
      <c r="C41" s="1197" t="s">
        <v>2554</v>
      </c>
      <c r="D41" s="549"/>
      <c r="E41" s="540"/>
      <c r="F41" s="540"/>
      <c r="G41" s="540"/>
      <c r="H41" s="540"/>
      <c r="I41" s="540"/>
      <c r="J41" s="540"/>
      <c r="K41" s="540"/>
      <c r="L41" s="540"/>
      <c r="M41" s="540"/>
      <c r="N41" s="540"/>
      <c r="O41" s="540"/>
      <c r="P41" s="540"/>
      <c r="Q41" s="540"/>
      <c r="R41" s="540"/>
      <c r="S41" s="540"/>
      <c r="T41" s="540"/>
      <c r="U41" s="540"/>
      <c r="V41" s="540"/>
      <c r="W41" s="540"/>
      <c r="X41" s="540"/>
      <c r="Y41" s="540"/>
      <c r="Z41" s="540"/>
      <c r="AA41" s="540"/>
      <c r="AB41" s="540"/>
      <c r="AC41" s="540"/>
      <c r="AD41" s="540"/>
      <c r="AE41" s="540"/>
      <c r="AF41" s="540"/>
      <c r="AG41" s="540"/>
      <c r="AH41" s="540"/>
      <c r="AI41" s="540"/>
      <c r="AJ41" s="540"/>
      <c r="AK41" s="540"/>
      <c r="AL41" s="540"/>
      <c r="AM41" s="540"/>
      <c r="AN41" s="535"/>
      <c r="AP41" s="14"/>
    </row>
    <row r="42" spans="1:43" s="536" customFormat="1" ht="12.75" customHeight="1">
      <c r="A42" s="540"/>
      <c r="B42" s="540"/>
      <c r="C42" s="1197"/>
      <c r="D42" s="549"/>
      <c r="E42" s="540"/>
      <c r="F42" s="540"/>
      <c r="G42" s="540"/>
      <c r="H42" s="540"/>
      <c r="I42" s="540"/>
      <c r="J42" s="540"/>
      <c r="K42" s="540"/>
      <c r="L42" s="540"/>
      <c r="M42" s="540"/>
      <c r="N42" s="540"/>
      <c r="O42" s="540"/>
      <c r="P42" s="540"/>
      <c r="Q42" s="540"/>
      <c r="R42" s="540"/>
      <c r="S42" s="540"/>
      <c r="T42" s="540"/>
      <c r="U42" s="540"/>
      <c r="V42" s="540"/>
      <c r="W42" s="540"/>
      <c r="X42" s="540"/>
      <c r="Y42" s="540"/>
      <c r="Z42" s="540"/>
      <c r="AA42" s="540"/>
      <c r="AB42" s="540"/>
      <c r="AC42" s="540"/>
      <c r="AD42" s="540"/>
      <c r="AE42" s="540"/>
      <c r="AF42" s="540"/>
      <c r="AG42" s="540"/>
      <c r="AH42" s="540"/>
      <c r="AI42" s="540"/>
      <c r="AJ42" s="540"/>
      <c r="AK42" s="540"/>
      <c r="AL42" s="540"/>
      <c r="AM42" s="540"/>
      <c r="AN42" s="535"/>
      <c r="AO42" s="549"/>
      <c r="AP42" s="14"/>
    </row>
    <row r="43" spans="1:43" s="536" customFormat="1" ht="12.75" customHeight="1">
      <c r="A43" s="540"/>
      <c r="B43" s="2589" t="s">
        <v>591</v>
      </c>
      <c r="C43" s="2589"/>
      <c r="D43" s="546"/>
      <c r="E43" s="2590" t="s">
        <v>2640</v>
      </c>
      <c r="F43" s="2591"/>
      <c r="G43" s="2591"/>
      <c r="H43" s="2591"/>
      <c r="I43" s="2591"/>
      <c r="J43" s="2591"/>
      <c r="K43" s="2591"/>
      <c r="L43" s="2591"/>
      <c r="M43" s="2591"/>
      <c r="N43" s="2591"/>
      <c r="O43" s="2591"/>
      <c r="P43" s="2591"/>
      <c r="Q43" s="2591"/>
      <c r="R43" s="2591"/>
      <c r="S43" s="2591"/>
      <c r="T43" s="2591"/>
      <c r="U43" s="2591"/>
      <c r="V43" s="2591"/>
      <c r="W43" s="2591"/>
      <c r="X43" s="2591"/>
      <c r="Y43" s="2591"/>
      <c r="Z43" s="2591"/>
      <c r="AA43" s="2591"/>
      <c r="AB43" s="2591"/>
      <c r="AC43" s="2591"/>
      <c r="AD43" s="2591"/>
      <c r="AE43" s="2591"/>
      <c r="AF43" s="2591"/>
      <c r="AG43" s="2591"/>
      <c r="AH43" s="2591"/>
      <c r="AI43" s="2591"/>
      <c r="AJ43" s="2592"/>
      <c r="AK43" s="540"/>
      <c r="AL43" s="540"/>
      <c r="AM43" s="540"/>
      <c r="AN43" s="535"/>
      <c r="AO43" s="549">
        <f>IF($B43="yes",8,0)</f>
        <v>0</v>
      </c>
      <c r="AP43" s="14"/>
    </row>
    <row r="44" spans="1:43" s="536" customFormat="1" ht="12.75" customHeight="1">
      <c r="A44" s="540"/>
      <c r="B44" s="540"/>
      <c r="C44" s="540"/>
      <c r="D44" s="550"/>
      <c r="E44" s="2631"/>
      <c r="F44" s="2632"/>
      <c r="G44" s="2632"/>
      <c r="H44" s="2632"/>
      <c r="I44" s="2632"/>
      <c r="J44" s="2632"/>
      <c r="K44" s="2632"/>
      <c r="L44" s="2632"/>
      <c r="M44" s="2632"/>
      <c r="N44" s="2632"/>
      <c r="O44" s="2632"/>
      <c r="P44" s="2632"/>
      <c r="Q44" s="2632"/>
      <c r="R44" s="2632"/>
      <c r="S44" s="2632"/>
      <c r="T44" s="2632"/>
      <c r="U44" s="2632"/>
      <c r="V44" s="2632"/>
      <c r="W44" s="2632"/>
      <c r="X44" s="2632"/>
      <c r="Y44" s="2632"/>
      <c r="Z44" s="2632"/>
      <c r="AA44" s="2632"/>
      <c r="AB44" s="2632"/>
      <c r="AC44" s="2632"/>
      <c r="AD44" s="2632"/>
      <c r="AE44" s="2632"/>
      <c r="AF44" s="2632"/>
      <c r="AG44" s="2632"/>
      <c r="AH44" s="2632"/>
      <c r="AI44" s="2632"/>
      <c r="AJ44" s="2633"/>
      <c r="AK44" s="540"/>
      <c r="AL44" s="540"/>
      <c r="AM44" s="540"/>
      <c r="AN44" s="535"/>
      <c r="AO44" s="549">
        <f>IF($B46="yes",8,0)</f>
        <v>0</v>
      </c>
    </row>
    <row r="45" spans="1:43" s="536" customFormat="1" ht="12.75" customHeight="1">
      <c r="A45" s="540"/>
      <c r="B45" s="540"/>
      <c r="C45" s="540"/>
      <c r="E45" s="540"/>
      <c r="F45" s="540"/>
      <c r="G45" s="540"/>
      <c r="H45" s="540"/>
      <c r="I45" s="540"/>
      <c r="J45" s="540"/>
      <c r="K45" s="540"/>
      <c r="L45" s="540"/>
      <c r="M45" s="540"/>
      <c r="N45" s="540"/>
      <c r="O45" s="540"/>
      <c r="P45" s="540"/>
      <c r="Q45" s="540"/>
      <c r="R45" s="540"/>
      <c r="S45" s="540"/>
      <c r="T45" s="540"/>
      <c r="U45" s="540"/>
      <c r="V45" s="540"/>
      <c r="W45" s="540"/>
      <c r="X45" s="540"/>
      <c r="Y45" s="540"/>
      <c r="Z45" s="540"/>
      <c r="AA45" s="540"/>
      <c r="AB45" s="540"/>
      <c r="AC45" s="540"/>
      <c r="AD45" s="540"/>
      <c r="AE45" s="540"/>
      <c r="AF45" s="540"/>
      <c r="AG45" s="540"/>
      <c r="AH45" s="540"/>
      <c r="AI45" s="540"/>
      <c r="AJ45" s="540"/>
      <c r="AK45" s="540"/>
      <c r="AL45" s="540"/>
      <c r="AM45" s="540"/>
      <c r="AN45" s="535"/>
      <c r="AO45" s="549">
        <f>IF($B49="yes",8,0)</f>
        <v>0</v>
      </c>
      <c r="AP45" s="14"/>
    </row>
    <row r="46" spans="1:43" s="536" customFormat="1" ht="12.75" customHeight="1">
      <c r="A46" s="540"/>
      <c r="B46" s="2589" t="s">
        <v>591</v>
      </c>
      <c r="C46" s="2589"/>
      <c r="D46" s="546"/>
      <c r="E46" s="2622" t="s">
        <v>2641</v>
      </c>
      <c r="F46" s="2623"/>
      <c r="G46" s="2623"/>
      <c r="H46" s="2623"/>
      <c r="I46" s="2623"/>
      <c r="J46" s="2623"/>
      <c r="K46" s="2623"/>
      <c r="L46" s="2623"/>
      <c r="M46" s="2623"/>
      <c r="N46" s="2623"/>
      <c r="O46" s="2623"/>
      <c r="P46" s="2623"/>
      <c r="Q46" s="2623"/>
      <c r="R46" s="2623"/>
      <c r="S46" s="2623"/>
      <c r="T46" s="2623"/>
      <c r="U46" s="2623"/>
      <c r="V46" s="2623"/>
      <c r="W46" s="2623"/>
      <c r="X46" s="2623"/>
      <c r="Y46" s="2623"/>
      <c r="Z46" s="2623"/>
      <c r="AA46" s="2623"/>
      <c r="AB46" s="2623"/>
      <c r="AC46" s="2623"/>
      <c r="AD46" s="2623"/>
      <c r="AE46" s="2623"/>
      <c r="AF46" s="2623"/>
      <c r="AG46" s="2623"/>
      <c r="AH46" s="2623"/>
      <c r="AI46" s="2623"/>
      <c r="AJ46" s="2624"/>
      <c r="AK46" s="540"/>
      <c r="AL46" s="540"/>
      <c r="AM46" s="540"/>
      <c r="AN46" s="535"/>
      <c r="AO46" s="549">
        <f>IF($B52="yes",8,0)</f>
        <v>0</v>
      </c>
    </row>
    <row r="47" spans="1:43" s="536" customFormat="1" ht="12.75" customHeight="1">
      <c r="A47" s="540"/>
      <c r="B47" s="540"/>
      <c r="C47" s="540"/>
      <c r="D47" s="549"/>
      <c r="E47" s="2628"/>
      <c r="F47" s="2629"/>
      <c r="G47" s="2629"/>
      <c r="H47" s="2629"/>
      <c r="I47" s="2629"/>
      <c r="J47" s="2629"/>
      <c r="K47" s="2629"/>
      <c r="L47" s="2629"/>
      <c r="M47" s="2629"/>
      <c r="N47" s="2629"/>
      <c r="O47" s="2629"/>
      <c r="P47" s="2629"/>
      <c r="Q47" s="2629"/>
      <c r="R47" s="2629"/>
      <c r="S47" s="2629"/>
      <c r="T47" s="2629"/>
      <c r="U47" s="2629"/>
      <c r="V47" s="2629"/>
      <c r="W47" s="2629"/>
      <c r="X47" s="2629"/>
      <c r="Y47" s="2629"/>
      <c r="Z47" s="2629"/>
      <c r="AA47" s="2629"/>
      <c r="AB47" s="2629"/>
      <c r="AC47" s="2629"/>
      <c r="AD47" s="2629"/>
      <c r="AE47" s="2629"/>
      <c r="AF47" s="2629"/>
      <c r="AG47" s="2629"/>
      <c r="AH47" s="2629"/>
      <c r="AI47" s="2629"/>
      <c r="AJ47" s="2630"/>
      <c r="AK47" s="540"/>
      <c r="AL47" s="540"/>
      <c r="AM47" s="540"/>
      <c r="AN47" s="535"/>
      <c r="AO47" s="536">
        <f>MAX(AO43,AO44,AO45,AO46)</f>
        <v>0</v>
      </c>
      <c r="AP47" s="536" t="s">
        <v>1305</v>
      </c>
      <c r="AQ47" s="554"/>
    </row>
    <row r="48" spans="1:43" s="536" customFormat="1" ht="12.75" customHeight="1">
      <c r="A48" s="540"/>
      <c r="B48" s="540"/>
      <c r="C48" s="540"/>
      <c r="D48" s="550"/>
      <c r="E48" s="540"/>
      <c r="F48" s="540"/>
      <c r="G48" s="540"/>
      <c r="H48" s="540"/>
      <c r="I48" s="540"/>
      <c r="J48" s="540"/>
      <c r="K48" s="540"/>
      <c r="L48" s="540"/>
      <c r="M48" s="540"/>
      <c r="N48" s="540"/>
      <c r="O48" s="540"/>
      <c r="P48" s="540"/>
      <c r="Q48" s="540"/>
      <c r="R48" s="540"/>
      <c r="S48" s="540"/>
      <c r="T48" s="540"/>
      <c r="U48" s="540"/>
      <c r="V48" s="540"/>
      <c r="W48" s="540"/>
      <c r="X48" s="540"/>
      <c r="Y48" s="540"/>
      <c r="Z48" s="540"/>
      <c r="AA48" s="540"/>
      <c r="AB48" s="540"/>
      <c r="AC48" s="540"/>
      <c r="AD48" s="540"/>
      <c r="AE48" s="540"/>
      <c r="AF48" s="540"/>
      <c r="AG48" s="540"/>
      <c r="AH48" s="540"/>
      <c r="AI48" s="540"/>
      <c r="AJ48" s="540"/>
      <c r="AK48" s="540"/>
      <c r="AL48" s="540"/>
      <c r="AM48" s="540"/>
      <c r="AN48" s="535"/>
    </row>
    <row r="49" spans="1:42" s="536" customFormat="1" ht="12.75" customHeight="1">
      <c r="A49" s="540"/>
      <c r="B49" s="2589" t="s">
        <v>591</v>
      </c>
      <c r="C49" s="2589"/>
      <c r="D49" s="546"/>
      <c r="E49" s="2450" t="s">
        <v>2642</v>
      </c>
      <c r="F49" s="2451"/>
      <c r="G49" s="2451"/>
      <c r="H49" s="2451"/>
      <c r="I49" s="2451"/>
      <c r="J49" s="2451"/>
      <c r="K49" s="2451"/>
      <c r="L49" s="2451"/>
      <c r="M49" s="2451"/>
      <c r="N49" s="2451"/>
      <c r="O49" s="2451"/>
      <c r="P49" s="2451"/>
      <c r="Q49" s="2451"/>
      <c r="R49" s="2451"/>
      <c r="S49" s="2451"/>
      <c r="T49" s="2451"/>
      <c r="U49" s="2451"/>
      <c r="V49" s="2451"/>
      <c r="W49" s="2451"/>
      <c r="X49" s="2451"/>
      <c r="Y49" s="2451"/>
      <c r="Z49" s="2451"/>
      <c r="AA49" s="2451"/>
      <c r="AB49" s="2451"/>
      <c r="AC49" s="2451"/>
      <c r="AD49" s="2451"/>
      <c r="AE49" s="2451"/>
      <c r="AF49" s="2451"/>
      <c r="AG49" s="2451"/>
      <c r="AH49" s="2451"/>
      <c r="AI49" s="2451"/>
      <c r="AJ49" s="2452"/>
      <c r="AK49" s="540"/>
      <c r="AL49" s="540"/>
      <c r="AM49" s="540"/>
      <c r="AN49" s="535"/>
      <c r="AO49" s="549"/>
    </row>
    <row r="50" spans="1:42" s="536" customFormat="1" ht="12.75" customHeight="1">
      <c r="A50" s="540"/>
      <c r="B50" s="540"/>
      <c r="C50" s="540"/>
      <c r="D50" s="549"/>
      <c r="E50" s="2606"/>
      <c r="F50" s="2607"/>
      <c r="G50" s="2607"/>
      <c r="H50" s="2607"/>
      <c r="I50" s="2607"/>
      <c r="J50" s="2607"/>
      <c r="K50" s="2607"/>
      <c r="L50" s="2607"/>
      <c r="M50" s="2607"/>
      <c r="N50" s="2607"/>
      <c r="O50" s="2607"/>
      <c r="P50" s="2607"/>
      <c r="Q50" s="2607"/>
      <c r="R50" s="2607"/>
      <c r="S50" s="2607"/>
      <c r="T50" s="2607"/>
      <c r="U50" s="2607"/>
      <c r="V50" s="2607"/>
      <c r="W50" s="2607"/>
      <c r="X50" s="2607"/>
      <c r="Y50" s="2607"/>
      <c r="Z50" s="2607"/>
      <c r="AA50" s="2607"/>
      <c r="AB50" s="2607"/>
      <c r="AC50" s="2607"/>
      <c r="AD50" s="2607"/>
      <c r="AE50" s="2607"/>
      <c r="AF50" s="2607"/>
      <c r="AG50" s="2607"/>
      <c r="AH50" s="2607"/>
      <c r="AI50" s="2607"/>
      <c r="AJ50" s="2608"/>
      <c r="AK50" s="540"/>
      <c r="AL50" s="540"/>
      <c r="AM50" s="540"/>
      <c r="AN50" s="535"/>
    </row>
    <row r="51" spans="1:42" s="536" customFormat="1" ht="12.75" customHeight="1">
      <c r="A51" s="540"/>
      <c r="B51" s="540"/>
      <c r="C51" s="540"/>
      <c r="D51" s="549"/>
      <c r="E51" s="540"/>
      <c r="F51" s="540"/>
      <c r="G51" s="540"/>
      <c r="H51" s="540"/>
      <c r="I51" s="540"/>
      <c r="J51" s="540"/>
      <c r="K51" s="540"/>
      <c r="L51" s="540"/>
      <c r="M51" s="540"/>
      <c r="N51" s="540"/>
      <c r="O51" s="540"/>
      <c r="P51" s="540"/>
      <c r="Q51" s="540"/>
      <c r="R51" s="540"/>
      <c r="S51" s="540"/>
      <c r="T51" s="540"/>
      <c r="U51" s="540"/>
      <c r="V51" s="540"/>
      <c r="W51" s="540"/>
      <c r="X51" s="540"/>
      <c r="Y51" s="540"/>
      <c r="Z51" s="540"/>
      <c r="AA51" s="540"/>
      <c r="AB51" s="540"/>
      <c r="AC51" s="540"/>
      <c r="AD51" s="540"/>
      <c r="AE51" s="540"/>
      <c r="AF51" s="540"/>
      <c r="AG51" s="540"/>
      <c r="AH51" s="540"/>
      <c r="AI51" s="540"/>
      <c r="AJ51" s="540"/>
      <c r="AK51" s="540"/>
      <c r="AL51" s="540"/>
      <c r="AM51" s="540"/>
      <c r="AN51" s="535"/>
      <c r="AO51" s="549"/>
    </row>
    <row r="52" spans="1:42" s="536" customFormat="1" ht="12.75" customHeight="1">
      <c r="A52" s="540"/>
      <c r="B52" s="2589" t="s">
        <v>591</v>
      </c>
      <c r="C52" s="2589"/>
      <c r="D52" s="546"/>
      <c r="E52" s="2615" t="s">
        <v>2643</v>
      </c>
      <c r="F52" s="2616"/>
      <c r="G52" s="2616"/>
      <c r="H52" s="2616"/>
      <c r="I52" s="2616"/>
      <c r="J52" s="2616"/>
      <c r="K52" s="2616"/>
      <c r="L52" s="2616"/>
      <c r="M52" s="2616"/>
      <c r="N52" s="2616"/>
      <c r="O52" s="2616"/>
      <c r="P52" s="2616"/>
      <c r="Q52" s="2616"/>
      <c r="R52" s="2616"/>
      <c r="S52" s="2616"/>
      <c r="T52" s="2616"/>
      <c r="U52" s="2616"/>
      <c r="V52" s="2616"/>
      <c r="W52" s="2616"/>
      <c r="X52" s="2616"/>
      <c r="Y52" s="2616"/>
      <c r="Z52" s="2616"/>
      <c r="AA52" s="2616"/>
      <c r="AB52" s="2616"/>
      <c r="AC52" s="2616"/>
      <c r="AD52" s="2616"/>
      <c r="AE52" s="2616"/>
      <c r="AF52" s="2616"/>
      <c r="AG52" s="2616"/>
      <c r="AH52" s="2616"/>
      <c r="AI52" s="2616"/>
      <c r="AJ52" s="2617"/>
      <c r="AK52" s="540"/>
      <c r="AL52" s="540"/>
      <c r="AM52" s="540"/>
      <c r="AN52" s="535"/>
      <c r="AO52" s="549"/>
    </row>
    <row r="53" spans="1:42" s="536" customFormat="1" ht="12.75" customHeight="1">
      <c r="A53" s="540"/>
      <c r="B53" s="540"/>
      <c r="C53" s="540"/>
      <c r="D53" s="549"/>
      <c r="E53" s="540"/>
      <c r="F53" s="540"/>
      <c r="G53" s="540"/>
      <c r="H53" s="540"/>
      <c r="I53" s="540"/>
      <c r="J53" s="540"/>
      <c r="K53" s="540"/>
      <c r="L53" s="540"/>
      <c r="M53" s="540"/>
      <c r="N53" s="540"/>
      <c r="O53" s="540"/>
      <c r="P53" s="540"/>
      <c r="Q53" s="540"/>
      <c r="R53" s="540"/>
      <c r="S53" s="540"/>
      <c r="T53" s="540"/>
      <c r="U53" s="540"/>
      <c r="V53" s="540"/>
      <c r="W53" s="540"/>
      <c r="X53" s="540"/>
      <c r="Y53" s="540"/>
      <c r="Z53" s="540"/>
      <c r="AA53" s="540"/>
      <c r="AB53" s="540"/>
      <c r="AC53" s="540"/>
      <c r="AD53" s="540"/>
      <c r="AE53" s="540"/>
      <c r="AF53" s="540"/>
      <c r="AG53" s="540"/>
      <c r="AH53" s="540"/>
      <c r="AI53" s="540"/>
      <c r="AJ53" s="540"/>
      <c r="AK53" s="540"/>
      <c r="AL53" s="540"/>
      <c r="AM53" s="540"/>
      <c r="AN53" s="535"/>
      <c r="AO53" s="549"/>
    </row>
    <row r="54" spans="1:42" s="536" customFormat="1" ht="12.75" customHeight="1">
      <c r="A54" s="540"/>
      <c r="B54" s="540"/>
      <c r="C54" s="1197" t="s">
        <v>2555</v>
      </c>
      <c r="D54" s="549"/>
      <c r="E54" s="540"/>
      <c r="F54" s="540"/>
      <c r="G54" s="540"/>
      <c r="H54" s="540"/>
      <c r="I54" s="540"/>
      <c r="J54" s="540"/>
      <c r="K54" s="540"/>
      <c r="L54" s="540"/>
      <c r="M54" s="540"/>
      <c r="N54" s="540"/>
      <c r="O54" s="540"/>
      <c r="P54" s="540"/>
      <c r="Q54" s="540"/>
      <c r="R54" s="540"/>
      <c r="S54" s="540"/>
      <c r="T54" s="540"/>
      <c r="U54" s="540"/>
      <c r="V54" s="540"/>
      <c r="W54" s="540"/>
      <c r="X54" s="540"/>
      <c r="Y54" s="540"/>
      <c r="Z54" s="540"/>
      <c r="AA54" s="540"/>
      <c r="AB54" s="540"/>
      <c r="AC54" s="540"/>
      <c r="AD54" s="540"/>
      <c r="AE54" s="540"/>
      <c r="AF54" s="540"/>
      <c r="AG54" s="540"/>
      <c r="AH54" s="540"/>
      <c r="AI54" s="540"/>
      <c r="AJ54" s="540"/>
      <c r="AK54" s="540"/>
      <c r="AL54" s="540"/>
      <c r="AM54" s="540"/>
      <c r="AN54" s="535"/>
      <c r="AO54" s="549"/>
      <c r="AP54" s="14"/>
    </row>
    <row r="55" spans="1:42" s="536" customFormat="1" ht="12.75" customHeight="1">
      <c r="A55" s="540"/>
      <c r="B55" s="540"/>
      <c r="C55" s="1197"/>
      <c r="D55" s="549"/>
      <c r="E55" s="540"/>
      <c r="F55" s="540"/>
      <c r="G55" s="540"/>
      <c r="H55" s="540"/>
      <c r="I55" s="540"/>
      <c r="J55" s="540"/>
      <c r="K55" s="540"/>
      <c r="L55" s="540"/>
      <c r="M55" s="540"/>
      <c r="N55" s="540"/>
      <c r="O55" s="540"/>
      <c r="P55" s="540"/>
      <c r="Q55" s="540"/>
      <c r="R55" s="540"/>
      <c r="S55" s="540"/>
      <c r="T55" s="540"/>
      <c r="U55" s="540"/>
      <c r="V55" s="540"/>
      <c r="W55" s="540"/>
      <c r="X55" s="540"/>
      <c r="Y55" s="540"/>
      <c r="Z55" s="540"/>
      <c r="AA55" s="540"/>
      <c r="AB55" s="540"/>
      <c r="AC55" s="540"/>
      <c r="AD55" s="540"/>
      <c r="AE55" s="540"/>
      <c r="AF55" s="540"/>
      <c r="AG55" s="540"/>
      <c r="AH55" s="540"/>
      <c r="AI55" s="540"/>
      <c r="AJ55" s="540"/>
      <c r="AK55" s="540"/>
      <c r="AL55" s="540"/>
      <c r="AM55" s="540"/>
      <c r="AN55" s="535"/>
      <c r="AO55" s="549">
        <f>IF($B56="yes",7,0)</f>
        <v>0</v>
      </c>
      <c r="AP55" s="14"/>
    </row>
    <row r="56" spans="1:42" s="536" customFormat="1" ht="12.75" customHeight="1">
      <c r="A56" s="540"/>
      <c r="B56" s="2589" t="s">
        <v>591</v>
      </c>
      <c r="C56" s="2589"/>
      <c r="D56" s="546"/>
      <c r="E56" s="2450" t="s">
        <v>2559</v>
      </c>
      <c r="F56" s="2451"/>
      <c r="G56" s="2451"/>
      <c r="H56" s="2451"/>
      <c r="I56" s="2451"/>
      <c r="J56" s="2451"/>
      <c r="K56" s="2451"/>
      <c r="L56" s="2451"/>
      <c r="M56" s="2451"/>
      <c r="N56" s="2451"/>
      <c r="O56" s="2451"/>
      <c r="P56" s="2451"/>
      <c r="Q56" s="2451"/>
      <c r="R56" s="2451"/>
      <c r="S56" s="2451"/>
      <c r="T56" s="2451"/>
      <c r="U56" s="2451"/>
      <c r="V56" s="2451"/>
      <c r="W56" s="2451"/>
      <c r="X56" s="2451"/>
      <c r="Y56" s="2451"/>
      <c r="Z56" s="2451"/>
      <c r="AA56" s="2451"/>
      <c r="AB56" s="2451"/>
      <c r="AC56" s="2451"/>
      <c r="AD56" s="2451"/>
      <c r="AE56" s="2451"/>
      <c r="AF56" s="2451"/>
      <c r="AG56" s="2451"/>
      <c r="AH56" s="2451"/>
      <c r="AI56" s="2451"/>
      <c r="AJ56" s="2452"/>
      <c r="AK56" s="540"/>
      <c r="AL56" s="540"/>
      <c r="AM56" s="540"/>
      <c r="AN56" s="535"/>
      <c r="AO56" s="549">
        <f>IF($B59="yes",7,0)</f>
        <v>0</v>
      </c>
    </row>
    <row r="57" spans="1:42" s="536" customFormat="1" ht="12.75" customHeight="1">
      <c r="A57" s="540"/>
      <c r="B57" s="540"/>
      <c r="C57" s="540"/>
      <c r="D57" s="549"/>
      <c r="E57" s="2606"/>
      <c r="F57" s="2607"/>
      <c r="G57" s="2607"/>
      <c r="H57" s="2607"/>
      <c r="I57" s="2607"/>
      <c r="J57" s="2607"/>
      <c r="K57" s="2607"/>
      <c r="L57" s="2607"/>
      <c r="M57" s="2607"/>
      <c r="N57" s="2607"/>
      <c r="O57" s="2607"/>
      <c r="P57" s="2607"/>
      <c r="Q57" s="2607"/>
      <c r="R57" s="2607"/>
      <c r="S57" s="2607"/>
      <c r="T57" s="2607"/>
      <c r="U57" s="2607"/>
      <c r="V57" s="2607"/>
      <c r="W57" s="2607"/>
      <c r="X57" s="2607"/>
      <c r="Y57" s="2607"/>
      <c r="Z57" s="2607"/>
      <c r="AA57" s="2607"/>
      <c r="AB57" s="2607"/>
      <c r="AC57" s="2607"/>
      <c r="AD57" s="2607"/>
      <c r="AE57" s="2607"/>
      <c r="AF57" s="2607"/>
      <c r="AG57" s="2607"/>
      <c r="AH57" s="2607"/>
      <c r="AI57" s="2607"/>
      <c r="AJ57" s="2608"/>
      <c r="AK57" s="540"/>
      <c r="AL57" s="540"/>
      <c r="AM57" s="540"/>
      <c r="AN57" s="535"/>
      <c r="AO57" s="536">
        <f>MAX(AO55:AO56)</f>
        <v>0</v>
      </c>
      <c r="AP57" s="536" t="s">
        <v>1305</v>
      </c>
    </row>
    <row r="58" spans="1:42" s="536" customFormat="1" ht="12.75" customHeight="1">
      <c r="A58" s="540"/>
      <c r="B58" s="540"/>
      <c r="C58" s="540"/>
      <c r="D58" s="549"/>
      <c r="E58" s="540"/>
      <c r="F58" s="540"/>
      <c r="G58" s="540"/>
      <c r="H58" s="540"/>
      <c r="I58" s="540"/>
      <c r="J58" s="540"/>
      <c r="K58" s="540"/>
      <c r="L58" s="540"/>
      <c r="M58" s="540"/>
      <c r="N58" s="540"/>
      <c r="O58" s="540"/>
      <c r="P58" s="540"/>
      <c r="Q58" s="540"/>
      <c r="R58" s="540"/>
      <c r="S58" s="540"/>
      <c r="T58" s="540"/>
      <c r="U58" s="540"/>
      <c r="V58" s="540"/>
      <c r="W58" s="540"/>
      <c r="X58" s="540"/>
      <c r="Y58" s="540"/>
      <c r="Z58" s="540"/>
      <c r="AA58" s="540"/>
      <c r="AB58" s="540"/>
      <c r="AC58" s="540"/>
      <c r="AD58" s="540"/>
      <c r="AE58" s="540"/>
      <c r="AF58" s="540"/>
      <c r="AG58" s="540"/>
      <c r="AH58" s="540"/>
      <c r="AI58" s="540"/>
      <c r="AJ58" s="540"/>
      <c r="AK58" s="540"/>
      <c r="AL58" s="540"/>
      <c r="AM58" s="540"/>
      <c r="AN58" s="535"/>
      <c r="AO58" s="549"/>
    </row>
    <row r="59" spans="1:42" s="536" customFormat="1" ht="12.75" customHeight="1">
      <c r="A59" s="540"/>
      <c r="B59" s="2589" t="s">
        <v>591</v>
      </c>
      <c r="C59" s="2589"/>
      <c r="D59" s="546"/>
      <c r="E59" s="2615" t="s">
        <v>2560</v>
      </c>
      <c r="F59" s="2616"/>
      <c r="G59" s="2616"/>
      <c r="H59" s="2616"/>
      <c r="I59" s="2616"/>
      <c r="J59" s="2616"/>
      <c r="K59" s="2616"/>
      <c r="L59" s="2616"/>
      <c r="M59" s="2616"/>
      <c r="N59" s="2616"/>
      <c r="O59" s="2616"/>
      <c r="P59" s="2616"/>
      <c r="Q59" s="2616"/>
      <c r="R59" s="2616"/>
      <c r="S59" s="2616"/>
      <c r="T59" s="2616"/>
      <c r="U59" s="2616"/>
      <c r="V59" s="2616"/>
      <c r="W59" s="2616"/>
      <c r="X59" s="2616"/>
      <c r="Y59" s="2616"/>
      <c r="Z59" s="2616"/>
      <c r="AA59" s="2616"/>
      <c r="AB59" s="2616"/>
      <c r="AC59" s="2616"/>
      <c r="AD59" s="2616"/>
      <c r="AE59" s="2616"/>
      <c r="AF59" s="2616"/>
      <c r="AG59" s="2616"/>
      <c r="AH59" s="2616"/>
      <c r="AI59" s="2616"/>
      <c r="AJ59" s="2617"/>
      <c r="AK59" s="540"/>
      <c r="AL59" s="540"/>
      <c r="AM59" s="540"/>
      <c r="AN59" s="535"/>
      <c r="AO59" s="549"/>
    </row>
    <row r="60" spans="1:42" s="536" customFormat="1" ht="12.75" customHeight="1">
      <c r="A60" s="540"/>
      <c r="B60" s="540"/>
      <c r="C60" s="540"/>
      <c r="E60" s="540"/>
      <c r="F60" s="540"/>
      <c r="G60" s="540"/>
      <c r="H60" s="540"/>
      <c r="I60" s="540"/>
      <c r="J60" s="540"/>
      <c r="K60" s="540"/>
      <c r="L60" s="540"/>
      <c r="M60" s="540"/>
      <c r="N60" s="540"/>
      <c r="O60" s="540"/>
      <c r="P60" s="540"/>
      <c r="Q60" s="540"/>
      <c r="R60" s="540"/>
      <c r="S60" s="540"/>
      <c r="T60" s="540"/>
      <c r="U60" s="540"/>
      <c r="V60" s="540"/>
      <c r="W60" s="540"/>
      <c r="X60" s="540"/>
      <c r="Y60" s="540"/>
      <c r="Z60" s="540"/>
      <c r="AA60" s="540"/>
      <c r="AB60" s="540"/>
      <c r="AC60" s="540"/>
      <c r="AD60" s="540"/>
      <c r="AE60" s="540"/>
      <c r="AF60" s="540"/>
      <c r="AG60" s="540"/>
      <c r="AH60" s="540"/>
      <c r="AI60" s="540"/>
      <c r="AJ60" s="540"/>
      <c r="AK60" s="540"/>
      <c r="AL60" s="540"/>
      <c r="AM60" s="540"/>
      <c r="AN60" s="535"/>
      <c r="AO60" s="536">
        <f>SUM(AO21,MAX(AO26,AO34,AO47,AO57))</f>
        <v>0</v>
      </c>
      <c r="AP60" s="536" t="s">
        <v>1305</v>
      </c>
    </row>
    <row r="61" spans="1:42" s="536" customFormat="1" ht="12.75" customHeight="1">
      <c r="A61" s="559"/>
      <c r="B61" s="560"/>
      <c r="C61" s="560"/>
      <c r="D61" s="560"/>
      <c r="E61" s="560"/>
      <c r="F61" s="560"/>
      <c r="G61" s="561"/>
      <c r="H61" s="562"/>
      <c r="I61" s="562"/>
      <c r="J61" s="562"/>
      <c r="K61" s="562"/>
      <c r="L61" s="562"/>
      <c r="M61" s="562"/>
      <c r="N61" s="562"/>
      <c r="O61" s="562"/>
      <c r="P61" s="562"/>
      <c r="Q61" s="562"/>
      <c r="R61" s="562"/>
      <c r="S61" s="562"/>
      <c r="T61" s="562"/>
      <c r="U61" s="562"/>
      <c r="V61" s="562"/>
      <c r="W61" s="562"/>
      <c r="X61" s="562"/>
      <c r="Y61" s="562"/>
      <c r="Z61" s="562"/>
      <c r="AA61" s="562"/>
      <c r="AB61" s="562"/>
      <c r="AC61" s="562"/>
      <c r="AD61" s="562"/>
      <c r="AE61" s="562"/>
      <c r="AF61" s="562"/>
      <c r="AG61" s="562"/>
      <c r="AH61" s="562"/>
      <c r="AI61" s="563"/>
      <c r="AJ61" s="563" t="s">
        <v>2561</v>
      </c>
      <c r="AK61" s="2581">
        <f>AO60</f>
        <v>0</v>
      </c>
      <c r="AL61" s="2582"/>
      <c r="AM61" s="2583"/>
      <c r="AN61" s="535"/>
    </row>
    <row r="62" spans="1:42" s="536" customFormat="1" ht="12.75" customHeight="1" thickBot="1">
      <c r="A62" s="564"/>
      <c r="B62" s="565"/>
      <c r="C62" s="566"/>
      <c r="D62" s="566"/>
      <c r="E62" s="566"/>
      <c r="F62" s="566"/>
      <c r="G62" s="566"/>
      <c r="H62" s="566"/>
      <c r="I62" s="566"/>
      <c r="J62" s="566"/>
      <c r="K62" s="566"/>
      <c r="L62" s="566"/>
      <c r="M62" s="566"/>
      <c r="N62" s="566"/>
      <c r="O62" s="566"/>
      <c r="P62" s="566"/>
      <c r="Q62" s="566"/>
      <c r="R62" s="566"/>
      <c r="S62" s="566"/>
      <c r="T62" s="566"/>
      <c r="U62" s="566"/>
      <c r="V62" s="566"/>
      <c r="W62" s="566"/>
      <c r="X62" s="566"/>
      <c r="Y62" s="566"/>
      <c r="Z62" s="566"/>
      <c r="AA62" s="566"/>
      <c r="AB62" s="566"/>
      <c r="AC62" s="566"/>
      <c r="AD62" s="566"/>
      <c r="AE62" s="566"/>
      <c r="AF62" s="566"/>
      <c r="AG62" s="566"/>
      <c r="AH62" s="566"/>
      <c r="AI62" s="566"/>
      <c r="AJ62" s="566"/>
      <c r="AK62" s="566"/>
      <c r="AL62" s="566"/>
      <c r="AM62" s="567"/>
      <c r="AN62" s="535"/>
    </row>
    <row r="63" spans="1:42" s="536" customFormat="1" ht="12.75" customHeight="1" thickTop="1">
      <c r="A63" s="568"/>
      <c r="B63" s="569"/>
      <c r="C63" s="570"/>
      <c r="D63" s="570"/>
      <c r="E63" s="570"/>
      <c r="F63" s="570"/>
      <c r="G63" s="570"/>
      <c r="H63" s="570"/>
      <c r="I63" s="571"/>
      <c r="J63" s="571"/>
      <c r="K63" s="571"/>
      <c r="L63" s="571"/>
      <c r="M63" s="571"/>
      <c r="N63" s="571"/>
      <c r="O63" s="571"/>
      <c r="P63" s="571"/>
      <c r="Q63" s="571"/>
      <c r="R63" s="568"/>
      <c r="S63" s="539"/>
      <c r="T63" s="539"/>
      <c r="U63" s="539"/>
      <c r="V63" s="539"/>
      <c r="W63" s="539"/>
      <c r="X63" s="539"/>
      <c r="Y63" s="539"/>
      <c r="Z63" s="539"/>
      <c r="AA63" s="539"/>
      <c r="AB63" s="539"/>
      <c r="AC63" s="539"/>
      <c r="AD63" s="539"/>
      <c r="AE63" s="539"/>
      <c r="AF63" s="568"/>
      <c r="AG63" s="539"/>
      <c r="AH63" s="539"/>
      <c r="AI63" s="539"/>
      <c r="AJ63" s="539"/>
      <c r="AK63" s="549"/>
      <c r="AL63" s="549"/>
      <c r="AM63" s="549"/>
      <c r="AN63" s="535"/>
    </row>
    <row r="64" spans="1:42" s="536" customFormat="1" ht="12.75" customHeight="1">
      <c r="A64" s="538" t="s">
        <v>1306</v>
      </c>
      <c r="B64" s="539" t="s">
        <v>1307</v>
      </c>
      <c r="C64" s="539"/>
      <c r="D64" s="539"/>
      <c r="E64" s="539"/>
      <c r="F64" s="539"/>
      <c r="G64" s="539"/>
      <c r="H64" s="539"/>
      <c r="I64" s="539"/>
      <c r="J64" s="539"/>
      <c r="K64" s="539"/>
      <c r="L64" s="539"/>
      <c r="M64" s="539"/>
      <c r="N64" s="539"/>
      <c r="O64" s="539"/>
      <c r="P64" s="539"/>
      <c r="Q64" s="539"/>
      <c r="R64" s="539"/>
      <c r="S64" s="539"/>
      <c r="T64" s="539"/>
      <c r="U64" s="539"/>
      <c r="V64" s="539"/>
      <c r="W64" s="539"/>
      <c r="X64" s="539"/>
      <c r="Y64" s="539"/>
      <c r="Z64" s="539"/>
      <c r="AA64" s="539"/>
      <c r="AB64" s="539"/>
      <c r="AC64" s="539"/>
      <c r="AD64" s="539"/>
      <c r="AE64" s="2447" t="s">
        <v>1308</v>
      </c>
      <c r="AF64" s="2447"/>
      <c r="AG64" s="2447"/>
      <c r="AH64" s="2447"/>
      <c r="AI64" s="2447"/>
      <c r="AJ64" s="2447"/>
      <c r="AK64" s="2447"/>
      <c r="AL64" s="540"/>
      <c r="AM64" s="540"/>
      <c r="AN64" s="535"/>
    </row>
    <row r="65" spans="1:42" s="536" customFormat="1" ht="12.75" customHeight="1">
      <c r="A65" s="538"/>
      <c r="B65" s="539" t="s">
        <v>1717</v>
      </c>
      <c r="C65" s="539"/>
      <c r="D65" s="539"/>
      <c r="E65" s="539"/>
      <c r="F65" s="539"/>
      <c r="G65" s="539"/>
      <c r="H65" s="539"/>
      <c r="I65" s="539"/>
      <c r="J65" s="539"/>
      <c r="K65" s="539"/>
      <c r="L65" s="539"/>
      <c r="M65" s="539"/>
      <c r="N65" s="539"/>
      <c r="O65" s="539"/>
      <c r="P65" s="539"/>
      <c r="Q65" s="539"/>
      <c r="R65" s="539"/>
      <c r="S65" s="539"/>
      <c r="T65" s="539"/>
      <c r="U65" s="539"/>
      <c r="V65" s="539"/>
      <c r="W65" s="539"/>
      <c r="X65" s="539"/>
      <c r="Y65" s="539"/>
      <c r="Z65" s="539"/>
      <c r="AA65" s="539"/>
      <c r="AB65" s="539"/>
      <c r="AC65" s="539"/>
      <c r="AD65" s="539"/>
      <c r="AE65" s="543"/>
      <c r="AF65" s="543"/>
      <c r="AG65" s="543"/>
      <c r="AH65" s="543"/>
      <c r="AI65" s="543"/>
      <c r="AJ65" s="543"/>
      <c r="AK65" s="543"/>
      <c r="AL65" s="540"/>
      <c r="AM65" s="540"/>
      <c r="AN65" s="535"/>
    </row>
    <row r="66" spans="1:42" s="536" customFormat="1" ht="12.75" customHeight="1">
      <c r="A66" s="538"/>
      <c r="B66" s="539"/>
      <c r="C66" s="539"/>
      <c r="D66" s="539"/>
      <c r="E66" s="539"/>
      <c r="F66" s="539"/>
      <c r="G66" s="539"/>
      <c r="H66" s="539"/>
      <c r="I66" s="539"/>
      <c r="J66" s="539"/>
      <c r="K66" s="539"/>
      <c r="L66" s="539"/>
      <c r="M66" s="539"/>
      <c r="N66" s="539"/>
      <c r="O66" s="539"/>
      <c r="P66" s="539"/>
      <c r="Q66" s="539"/>
      <c r="R66" s="539"/>
      <c r="S66" s="539"/>
      <c r="T66" s="539"/>
      <c r="U66" s="539"/>
      <c r="V66" s="539"/>
      <c r="W66" s="539"/>
      <c r="X66" s="539"/>
      <c r="Y66" s="539"/>
      <c r="Z66" s="539"/>
      <c r="AA66" s="539"/>
      <c r="AB66" s="539"/>
      <c r="AC66" s="539"/>
      <c r="AD66" s="539"/>
      <c r="AE66" s="543"/>
      <c r="AF66" s="543"/>
      <c r="AG66" s="543"/>
      <c r="AH66" s="543"/>
      <c r="AI66" s="543"/>
      <c r="AJ66" s="543"/>
      <c r="AK66" s="543"/>
      <c r="AL66" s="540"/>
      <c r="AM66" s="540"/>
      <c r="AN66" s="535"/>
    </row>
    <row r="67" spans="1:42" s="536" customFormat="1" ht="12.75" customHeight="1">
      <c r="A67" s="538"/>
      <c r="B67" s="2589" t="s">
        <v>545</v>
      </c>
      <c r="C67" s="2589"/>
      <c r="D67" s="546" t="s">
        <v>1309</v>
      </c>
      <c r="E67" s="2590" t="s">
        <v>1980</v>
      </c>
      <c r="F67" s="2591"/>
      <c r="G67" s="2591"/>
      <c r="H67" s="2591"/>
      <c r="I67" s="2591"/>
      <c r="J67" s="2591"/>
      <c r="K67" s="2591"/>
      <c r="L67" s="2591"/>
      <c r="M67" s="2591"/>
      <c r="N67" s="2591"/>
      <c r="O67" s="2591"/>
      <c r="P67" s="2591"/>
      <c r="Q67" s="2591"/>
      <c r="R67" s="2591"/>
      <c r="S67" s="2591"/>
      <c r="T67" s="2591"/>
      <c r="U67" s="2591"/>
      <c r="V67" s="2591"/>
      <c r="W67" s="2591"/>
      <c r="X67" s="2591"/>
      <c r="Y67" s="2591"/>
      <c r="Z67" s="2591"/>
      <c r="AA67" s="2591"/>
      <c r="AB67" s="2591"/>
      <c r="AC67" s="2591"/>
      <c r="AD67" s="2591"/>
      <c r="AE67" s="2591"/>
      <c r="AF67" s="2591"/>
      <c r="AG67" s="2591"/>
      <c r="AH67" s="2591"/>
      <c r="AI67" s="2591"/>
      <c r="AJ67" s="2592"/>
      <c r="AK67" s="543"/>
      <c r="AL67" s="540"/>
      <c r="AM67" s="540"/>
      <c r="AN67" s="535"/>
      <c r="AO67" s="549">
        <f>IF($B67="yes",10,0)</f>
        <v>10</v>
      </c>
    </row>
    <row r="68" spans="1:42" s="536" customFormat="1" ht="12.75" customHeight="1">
      <c r="A68" s="538"/>
      <c r="B68" s="540"/>
      <c r="C68" s="540"/>
      <c r="D68" s="550"/>
      <c r="E68" s="2593"/>
      <c r="F68" s="2594"/>
      <c r="G68" s="2594"/>
      <c r="H68" s="2594"/>
      <c r="I68" s="2594"/>
      <c r="J68" s="2594"/>
      <c r="K68" s="2594"/>
      <c r="L68" s="2594"/>
      <c r="M68" s="2594"/>
      <c r="N68" s="2594"/>
      <c r="O68" s="2594"/>
      <c r="P68" s="2594"/>
      <c r="Q68" s="2594"/>
      <c r="R68" s="2594"/>
      <c r="S68" s="2594"/>
      <c r="T68" s="2594"/>
      <c r="U68" s="2594"/>
      <c r="V68" s="2594"/>
      <c r="W68" s="2594"/>
      <c r="X68" s="2594"/>
      <c r="Y68" s="2594"/>
      <c r="Z68" s="2594"/>
      <c r="AA68" s="2594"/>
      <c r="AB68" s="2594"/>
      <c r="AC68" s="2594"/>
      <c r="AD68" s="2594"/>
      <c r="AE68" s="2594"/>
      <c r="AF68" s="2594"/>
      <c r="AG68" s="2594"/>
      <c r="AH68" s="2594"/>
      <c r="AI68" s="2594"/>
      <c r="AJ68" s="2595"/>
      <c r="AK68" s="543"/>
      <c r="AL68" s="540"/>
      <c r="AM68" s="540"/>
      <c r="AN68" s="535"/>
      <c r="AO68" s="549">
        <f>IF(AND($B73="yes",OR(E74="Yes",E75="Yes",E76="Yes")),10,0)</f>
        <v>0</v>
      </c>
    </row>
    <row r="69" spans="1:42" s="536" customFormat="1" ht="12.75" customHeight="1">
      <c r="A69" s="538"/>
      <c r="B69" s="540"/>
      <c r="C69" s="540"/>
      <c r="D69" s="550"/>
      <c r="E69" s="2593"/>
      <c r="F69" s="2594"/>
      <c r="G69" s="2594"/>
      <c r="H69" s="2594"/>
      <c r="I69" s="2594"/>
      <c r="J69" s="2594"/>
      <c r="K69" s="2594"/>
      <c r="L69" s="2594"/>
      <c r="M69" s="2594"/>
      <c r="N69" s="2594"/>
      <c r="O69" s="2594"/>
      <c r="P69" s="2594"/>
      <c r="Q69" s="2594"/>
      <c r="R69" s="2594"/>
      <c r="S69" s="2594"/>
      <c r="T69" s="2594"/>
      <c r="U69" s="2594"/>
      <c r="V69" s="2594"/>
      <c r="W69" s="2594"/>
      <c r="X69" s="2594"/>
      <c r="Y69" s="2594"/>
      <c r="Z69" s="2594"/>
      <c r="AA69" s="2594"/>
      <c r="AB69" s="2594"/>
      <c r="AC69" s="2594"/>
      <c r="AD69" s="2594"/>
      <c r="AE69" s="2594"/>
      <c r="AF69" s="2594"/>
      <c r="AG69" s="2594"/>
      <c r="AH69" s="2594"/>
      <c r="AI69" s="2594"/>
      <c r="AJ69" s="2595"/>
      <c r="AK69" s="543"/>
      <c r="AL69" s="540"/>
      <c r="AM69" s="540"/>
      <c r="AN69" s="535"/>
      <c r="AO69" s="549">
        <f>IF($B78="yes",10,0)</f>
        <v>0</v>
      </c>
    </row>
    <row r="70" spans="1:42" s="536" customFormat="1" ht="12.75" customHeight="1">
      <c r="A70" s="538"/>
      <c r="B70" s="540"/>
      <c r="C70" s="540"/>
      <c r="D70" s="550"/>
      <c r="E70" s="2593"/>
      <c r="F70" s="2594"/>
      <c r="G70" s="2594"/>
      <c r="H70" s="2594"/>
      <c r="I70" s="2594"/>
      <c r="J70" s="2594"/>
      <c r="K70" s="2594"/>
      <c r="L70" s="2594"/>
      <c r="M70" s="2594"/>
      <c r="N70" s="2594"/>
      <c r="O70" s="2594"/>
      <c r="P70" s="2594"/>
      <c r="Q70" s="2594"/>
      <c r="R70" s="2594"/>
      <c r="S70" s="2594"/>
      <c r="T70" s="2594"/>
      <c r="U70" s="2594"/>
      <c r="V70" s="2594"/>
      <c r="W70" s="2594"/>
      <c r="X70" s="2594"/>
      <c r="Y70" s="2594"/>
      <c r="Z70" s="2594"/>
      <c r="AA70" s="2594"/>
      <c r="AB70" s="2594"/>
      <c r="AC70" s="2594"/>
      <c r="AD70" s="2594"/>
      <c r="AE70" s="2594"/>
      <c r="AF70" s="2594"/>
      <c r="AG70" s="2594"/>
      <c r="AH70" s="2594"/>
      <c r="AI70" s="2594"/>
      <c r="AJ70" s="2595"/>
      <c r="AK70" s="543"/>
      <c r="AL70" s="540"/>
      <c r="AM70" s="540"/>
      <c r="AN70" s="535"/>
      <c r="AO70" s="549">
        <f>IF($B81="yes",10,0)</f>
        <v>0</v>
      </c>
    </row>
    <row r="71" spans="1:42" s="536" customFormat="1" ht="12.75" customHeight="1">
      <c r="A71" s="538"/>
      <c r="B71" s="540"/>
      <c r="C71" s="540"/>
      <c r="D71" s="550"/>
      <c r="E71" s="2631"/>
      <c r="F71" s="2632"/>
      <c r="G71" s="2632"/>
      <c r="H71" s="2632"/>
      <c r="I71" s="2632"/>
      <c r="J71" s="2632"/>
      <c r="K71" s="2632"/>
      <c r="L71" s="2632"/>
      <c r="M71" s="2632"/>
      <c r="N71" s="2632"/>
      <c r="O71" s="2632"/>
      <c r="P71" s="2632"/>
      <c r="Q71" s="2632"/>
      <c r="R71" s="2632"/>
      <c r="S71" s="2632"/>
      <c r="T71" s="2632"/>
      <c r="U71" s="2632"/>
      <c r="V71" s="2632"/>
      <c r="W71" s="2632"/>
      <c r="X71" s="2632"/>
      <c r="Y71" s="2632"/>
      <c r="Z71" s="2632"/>
      <c r="AA71" s="2632"/>
      <c r="AB71" s="2632"/>
      <c r="AC71" s="2632"/>
      <c r="AD71" s="2632"/>
      <c r="AE71" s="2632"/>
      <c r="AF71" s="2632"/>
      <c r="AG71" s="2632"/>
      <c r="AH71" s="2632"/>
      <c r="AI71" s="2632"/>
      <c r="AJ71" s="2633"/>
      <c r="AK71" s="543"/>
      <c r="AL71" s="540"/>
      <c r="AM71" s="540"/>
      <c r="AN71" s="535"/>
      <c r="AO71" s="536">
        <f>IF(SUM(AO67:AO70)&gt;10,10,(SUM(AO67:AO70)))</f>
        <v>10</v>
      </c>
      <c r="AP71" s="572" t="s">
        <v>1310</v>
      </c>
    </row>
    <row r="72" spans="1:42" s="536" customFormat="1" ht="12.75" customHeight="1">
      <c r="A72" s="538"/>
      <c r="B72" s="540"/>
      <c r="C72" s="540"/>
      <c r="E72" s="540"/>
      <c r="F72" s="540"/>
      <c r="G72" s="540"/>
      <c r="H72" s="540"/>
      <c r="I72" s="540"/>
      <c r="J72" s="540"/>
      <c r="K72" s="540"/>
      <c r="L72" s="540"/>
      <c r="M72" s="540"/>
      <c r="N72" s="540"/>
      <c r="O72" s="540"/>
      <c r="P72" s="540"/>
      <c r="Q72" s="540"/>
      <c r="R72" s="540"/>
      <c r="S72" s="540"/>
      <c r="T72" s="540"/>
      <c r="U72" s="540"/>
      <c r="V72" s="540"/>
      <c r="W72" s="540"/>
      <c r="X72" s="540"/>
      <c r="Y72" s="540"/>
      <c r="Z72" s="540"/>
      <c r="AA72" s="540"/>
      <c r="AB72" s="540"/>
      <c r="AC72" s="540"/>
      <c r="AD72" s="540"/>
      <c r="AE72" s="540"/>
      <c r="AF72" s="540"/>
      <c r="AG72" s="540"/>
      <c r="AH72" s="540"/>
      <c r="AI72" s="540"/>
      <c r="AJ72" s="540"/>
      <c r="AK72" s="543"/>
      <c r="AL72" s="540"/>
      <c r="AM72" s="540"/>
      <c r="AN72" s="535"/>
    </row>
    <row r="73" spans="1:42" s="536" customFormat="1" ht="12.75" customHeight="1">
      <c r="A73" s="538"/>
      <c r="B73" s="2589" t="s">
        <v>591</v>
      </c>
      <c r="C73" s="2589"/>
      <c r="D73" s="546" t="s">
        <v>1311</v>
      </c>
      <c r="E73" s="967" t="s">
        <v>1713</v>
      </c>
      <c r="F73" s="968"/>
      <c r="G73" s="968"/>
      <c r="H73" s="968"/>
      <c r="I73" s="968"/>
      <c r="J73" s="968"/>
      <c r="K73" s="968"/>
      <c r="L73" s="968"/>
      <c r="M73" s="968"/>
      <c r="N73" s="968"/>
      <c r="O73" s="968"/>
      <c r="P73" s="968"/>
      <c r="Q73" s="968"/>
      <c r="R73" s="968"/>
      <c r="S73" s="968"/>
      <c r="T73" s="968"/>
      <c r="U73" s="968"/>
      <c r="V73" s="968"/>
      <c r="W73" s="968"/>
      <c r="X73" s="968"/>
      <c r="Y73" s="968"/>
      <c r="Z73" s="968"/>
      <c r="AA73" s="968"/>
      <c r="AB73" s="968"/>
      <c r="AC73" s="968"/>
      <c r="AD73" s="968"/>
      <c r="AE73" s="968"/>
      <c r="AF73" s="968"/>
      <c r="AG73" s="968"/>
      <c r="AH73" s="968"/>
      <c r="AI73" s="968"/>
      <c r="AJ73" s="969"/>
      <c r="AK73" s="543"/>
      <c r="AL73" s="540"/>
      <c r="AM73" s="540"/>
      <c r="AN73" s="535"/>
    </row>
    <row r="74" spans="1:42" s="536" customFormat="1" ht="12.75" customHeight="1">
      <c r="A74" s="538"/>
      <c r="B74" s="540"/>
      <c r="C74" s="540"/>
      <c r="D74" s="549"/>
      <c r="E74" s="2637" t="s">
        <v>591</v>
      </c>
      <c r="F74" s="2589"/>
      <c r="G74" s="573"/>
      <c r="H74" s="556" t="s">
        <v>1312</v>
      </c>
      <c r="I74" s="904"/>
      <c r="J74" s="573"/>
      <c r="K74" s="573"/>
      <c r="L74" s="573"/>
      <c r="M74" s="573"/>
      <c r="N74" s="573"/>
      <c r="O74" s="573"/>
      <c r="P74" s="573"/>
      <c r="Q74" s="573"/>
      <c r="R74" s="573"/>
      <c r="S74" s="573"/>
      <c r="T74" s="573"/>
      <c r="U74" s="573"/>
      <c r="V74" s="573"/>
      <c r="W74" s="573"/>
      <c r="X74" s="573"/>
      <c r="Y74" s="573"/>
      <c r="Z74" s="573"/>
      <c r="AA74" s="573"/>
      <c r="AB74" s="573"/>
      <c r="AC74" s="573"/>
      <c r="AD74" s="573"/>
      <c r="AE74" s="573"/>
      <c r="AF74" s="573"/>
      <c r="AG74" s="573"/>
      <c r="AH74" s="573"/>
      <c r="AI74" s="573"/>
      <c r="AJ74" s="970"/>
      <c r="AK74" s="543"/>
      <c r="AL74" s="540"/>
      <c r="AM74" s="540"/>
      <c r="AN74" s="535"/>
    </row>
    <row r="75" spans="1:42" s="536" customFormat="1" ht="12.75" customHeight="1">
      <c r="A75" s="538"/>
      <c r="B75" s="540"/>
      <c r="C75" s="540"/>
      <c r="D75" s="549"/>
      <c r="E75" s="2635" t="s">
        <v>591</v>
      </c>
      <c r="F75" s="2636"/>
      <c r="G75" s="573"/>
      <c r="H75" s="556" t="s">
        <v>1313</v>
      </c>
      <c r="I75" s="573"/>
      <c r="J75" s="573"/>
      <c r="K75" s="573"/>
      <c r="L75" s="573"/>
      <c r="M75" s="573"/>
      <c r="N75" s="573"/>
      <c r="O75" s="573"/>
      <c r="P75" s="573"/>
      <c r="Q75" s="573"/>
      <c r="R75" s="573"/>
      <c r="S75" s="573"/>
      <c r="T75" s="573"/>
      <c r="U75" s="573"/>
      <c r="V75" s="573"/>
      <c r="W75" s="573"/>
      <c r="X75" s="573"/>
      <c r="Y75" s="573"/>
      <c r="Z75" s="573"/>
      <c r="AA75" s="573"/>
      <c r="AB75" s="573"/>
      <c r="AC75" s="573"/>
      <c r="AD75" s="573"/>
      <c r="AE75" s="573"/>
      <c r="AF75" s="573"/>
      <c r="AG75" s="573"/>
      <c r="AH75" s="573"/>
      <c r="AI75" s="573"/>
      <c r="AJ75" s="970"/>
      <c r="AK75" s="543"/>
      <c r="AL75" s="540"/>
      <c r="AM75" s="540"/>
      <c r="AN75" s="535"/>
    </row>
    <row r="76" spans="1:42" s="536" customFormat="1" ht="12.75" customHeight="1">
      <c r="A76" s="538"/>
      <c r="B76" s="540"/>
      <c r="C76" s="540"/>
      <c r="D76" s="549"/>
      <c r="E76" s="2635" t="s">
        <v>591</v>
      </c>
      <c r="F76" s="2636"/>
      <c r="G76" s="902"/>
      <c r="H76" s="1199" t="s">
        <v>1727</v>
      </c>
      <c r="I76" s="902"/>
      <c r="J76" s="902"/>
      <c r="K76" s="902"/>
      <c r="L76" s="902"/>
      <c r="M76" s="902"/>
      <c r="N76" s="902"/>
      <c r="O76" s="902"/>
      <c r="P76" s="902"/>
      <c r="Q76" s="902"/>
      <c r="R76" s="902"/>
      <c r="S76" s="902"/>
      <c r="T76" s="902"/>
      <c r="U76" s="902"/>
      <c r="V76" s="902"/>
      <c r="W76" s="902"/>
      <c r="X76" s="902"/>
      <c r="Y76" s="902"/>
      <c r="Z76" s="902"/>
      <c r="AA76" s="902"/>
      <c r="AB76" s="902"/>
      <c r="AC76" s="902"/>
      <c r="AD76" s="902"/>
      <c r="AE76" s="902"/>
      <c r="AF76" s="902"/>
      <c r="AG76" s="902"/>
      <c r="AH76" s="902"/>
      <c r="AI76" s="902"/>
      <c r="AJ76" s="903"/>
      <c r="AK76" s="543"/>
      <c r="AL76" s="540"/>
      <c r="AM76" s="540"/>
      <c r="AN76" s="535"/>
    </row>
    <row r="77" spans="1:42" s="536" customFormat="1" ht="12.75" customHeight="1">
      <c r="A77" s="538"/>
      <c r="B77" s="540"/>
      <c r="C77" s="540"/>
      <c r="D77" s="550"/>
      <c r="E77" s="540"/>
      <c r="F77" s="540"/>
      <c r="G77" s="540"/>
      <c r="H77" s="540"/>
      <c r="I77" s="540"/>
      <c r="J77" s="540"/>
      <c r="K77" s="540"/>
      <c r="L77" s="540"/>
      <c r="M77" s="540"/>
      <c r="N77" s="540"/>
      <c r="O77" s="540"/>
      <c r="P77" s="540"/>
      <c r="Q77" s="540"/>
      <c r="R77" s="540"/>
      <c r="S77" s="540"/>
      <c r="T77" s="540"/>
      <c r="U77" s="540"/>
      <c r="V77" s="540"/>
      <c r="W77" s="540"/>
      <c r="X77" s="540"/>
      <c r="Y77" s="540"/>
      <c r="Z77" s="540"/>
      <c r="AA77" s="540"/>
      <c r="AB77" s="540"/>
      <c r="AC77" s="540"/>
      <c r="AD77" s="540"/>
      <c r="AE77" s="540"/>
      <c r="AF77" s="540"/>
      <c r="AG77" s="540"/>
      <c r="AH77" s="540"/>
      <c r="AI77" s="540"/>
      <c r="AJ77" s="540"/>
      <c r="AK77" s="543"/>
      <c r="AL77" s="540"/>
      <c r="AM77" s="540"/>
      <c r="AN77" s="535"/>
    </row>
    <row r="78" spans="1:42" s="536" customFormat="1" ht="12.75" customHeight="1">
      <c r="A78" s="538"/>
      <c r="B78" s="2589" t="s">
        <v>591</v>
      </c>
      <c r="C78" s="2589"/>
      <c r="D78" s="546" t="s">
        <v>1314</v>
      </c>
      <c r="E78" s="2450" t="s">
        <v>1728</v>
      </c>
      <c r="F78" s="2451"/>
      <c r="G78" s="2451"/>
      <c r="H78" s="2451"/>
      <c r="I78" s="2451"/>
      <c r="J78" s="2451"/>
      <c r="K78" s="2451"/>
      <c r="L78" s="2451"/>
      <c r="M78" s="2451"/>
      <c r="N78" s="2451"/>
      <c r="O78" s="2451"/>
      <c r="P78" s="2451"/>
      <c r="Q78" s="2451"/>
      <c r="R78" s="2451"/>
      <c r="S78" s="2451"/>
      <c r="T78" s="2451"/>
      <c r="U78" s="2451"/>
      <c r="V78" s="2451"/>
      <c r="W78" s="2451"/>
      <c r="X78" s="2451"/>
      <c r="Y78" s="2451"/>
      <c r="Z78" s="2451"/>
      <c r="AA78" s="2451"/>
      <c r="AB78" s="2451"/>
      <c r="AC78" s="2451"/>
      <c r="AD78" s="2451"/>
      <c r="AE78" s="2451"/>
      <c r="AF78" s="2451"/>
      <c r="AG78" s="2451"/>
      <c r="AH78" s="2451"/>
      <c r="AI78" s="2451"/>
      <c r="AJ78" s="2452"/>
      <c r="AK78" s="543"/>
      <c r="AL78" s="540"/>
      <c r="AM78" s="540"/>
      <c r="AN78" s="535"/>
    </row>
    <row r="79" spans="1:42" s="536" customFormat="1" ht="12.75" customHeight="1">
      <c r="A79" s="538"/>
      <c r="B79" s="540"/>
      <c r="C79" s="540"/>
      <c r="E79" s="2606"/>
      <c r="F79" s="2607"/>
      <c r="G79" s="2607"/>
      <c r="H79" s="2607"/>
      <c r="I79" s="2607"/>
      <c r="J79" s="2607"/>
      <c r="K79" s="2607"/>
      <c r="L79" s="2607"/>
      <c r="M79" s="2607"/>
      <c r="N79" s="2607"/>
      <c r="O79" s="2607"/>
      <c r="P79" s="2607"/>
      <c r="Q79" s="2607"/>
      <c r="R79" s="2607"/>
      <c r="S79" s="2607"/>
      <c r="T79" s="2607"/>
      <c r="U79" s="2607"/>
      <c r="V79" s="2607"/>
      <c r="W79" s="2607"/>
      <c r="X79" s="2607"/>
      <c r="Y79" s="2607"/>
      <c r="Z79" s="2607"/>
      <c r="AA79" s="2607"/>
      <c r="AB79" s="2607"/>
      <c r="AC79" s="2607"/>
      <c r="AD79" s="2607"/>
      <c r="AE79" s="2607"/>
      <c r="AF79" s="2607"/>
      <c r="AG79" s="2607"/>
      <c r="AH79" s="2607"/>
      <c r="AI79" s="2607"/>
      <c r="AJ79" s="2608"/>
      <c r="AK79" s="543"/>
      <c r="AL79" s="540"/>
      <c r="AM79" s="540"/>
      <c r="AN79" s="535"/>
    </row>
    <row r="80" spans="1:42" s="536" customFormat="1" ht="12.75" customHeight="1">
      <c r="A80" s="538"/>
      <c r="B80" s="540"/>
      <c r="C80" s="540"/>
      <c r="D80" s="549"/>
      <c r="E80" s="549"/>
      <c r="F80" s="573"/>
      <c r="G80" s="573"/>
      <c r="H80" s="573"/>
      <c r="I80" s="573"/>
      <c r="J80" s="573"/>
      <c r="K80" s="573"/>
      <c r="L80" s="573"/>
      <c r="M80" s="573"/>
      <c r="N80" s="573"/>
      <c r="O80" s="573"/>
      <c r="P80" s="573"/>
      <c r="Q80" s="573"/>
      <c r="R80" s="573"/>
      <c r="S80" s="573"/>
      <c r="T80" s="573"/>
      <c r="U80" s="573"/>
      <c r="V80" s="573"/>
      <c r="W80" s="573"/>
      <c r="X80" s="573"/>
      <c r="Y80" s="573"/>
      <c r="Z80" s="573"/>
      <c r="AA80" s="573"/>
      <c r="AB80" s="573"/>
      <c r="AC80" s="573"/>
      <c r="AD80" s="573"/>
      <c r="AE80" s="573"/>
      <c r="AF80" s="573"/>
      <c r="AG80" s="573"/>
      <c r="AH80" s="573"/>
      <c r="AI80" s="573"/>
      <c r="AJ80" s="970"/>
      <c r="AK80" s="543"/>
      <c r="AL80" s="540"/>
      <c r="AM80" s="540"/>
      <c r="AN80" s="535"/>
    </row>
    <row r="81" spans="1:43" s="536" customFormat="1" ht="12.75" customHeight="1">
      <c r="A81" s="538"/>
      <c r="B81" s="2589" t="s">
        <v>591</v>
      </c>
      <c r="C81" s="2589"/>
      <c r="D81" s="546" t="s">
        <v>1461</v>
      </c>
      <c r="E81" s="2615" t="s">
        <v>1726</v>
      </c>
      <c r="F81" s="2616"/>
      <c r="G81" s="2616"/>
      <c r="H81" s="2616"/>
      <c r="I81" s="2616"/>
      <c r="J81" s="2616"/>
      <c r="K81" s="2616"/>
      <c r="L81" s="2616"/>
      <c r="M81" s="2616"/>
      <c r="N81" s="2616"/>
      <c r="O81" s="2616"/>
      <c r="P81" s="2616"/>
      <c r="Q81" s="2616"/>
      <c r="R81" s="2616"/>
      <c r="S81" s="2616"/>
      <c r="T81" s="2616"/>
      <c r="U81" s="2616"/>
      <c r="V81" s="2616"/>
      <c r="W81" s="2616"/>
      <c r="X81" s="2616"/>
      <c r="Y81" s="2616"/>
      <c r="Z81" s="2616"/>
      <c r="AA81" s="2616"/>
      <c r="AB81" s="2616"/>
      <c r="AC81" s="2616"/>
      <c r="AD81" s="2616"/>
      <c r="AE81" s="2616"/>
      <c r="AF81" s="2616"/>
      <c r="AG81" s="2616"/>
      <c r="AH81" s="2616"/>
      <c r="AI81" s="2616"/>
      <c r="AJ81" s="2617"/>
      <c r="AK81" s="543"/>
      <c r="AL81" s="540"/>
      <c r="AM81" s="540"/>
      <c r="AN81" s="535"/>
    </row>
    <row r="82" spans="1:43" s="536" customFormat="1" ht="12.75" customHeight="1">
      <c r="A82" s="538"/>
      <c r="B82" s="540"/>
      <c r="C82" s="540"/>
      <c r="D82" s="549"/>
      <c r="E82" s="540"/>
      <c r="F82" s="540"/>
      <c r="G82" s="540"/>
      <c r="H82" s="540"/>
      <c r="I82" s="540"/>
      <c r="J82" s="540"/>
      <c r="K82" s="540"/>
      <c r="L82" s="540"/>
      <c r="M82" s="540"/>
      <c r="N82" s="540"/>
      <c r="O82" s="540"/>
      <c r="P82" s="540"/>
      <c r="Q82" s="540"/>
      <c r="R82" s="540"/>
      <c r="S82" s="540"/>
      <c r="T82" s="540"/>
      <c r="U82" s="540"/>
      <c r="V82" s="540"/>
      <c r="W82" s="540"/>
      <c r="X82" s="540"/>
      <c r="Y82" s="540"/>
      <c r="Z82" s="540"/>
      <c r="AA82" s="540"/>
      <c r="AB82" s="540"/>
      <c r="AC82" s="540"/>
      <c r="AD82" s="540"/>
      <c r="AE82" s="540"/>
      <c r="AF82" s="540"/>
      <c r="AG82" s="540"/>
      <c r="AH82" s="540"/>
      <c r="AI82" s="540"/>
      <c r="AJ82" s="540"/>
      <c r="AK82" s="543"/>
      <c r="AL82" s="540"/>
      <c r="AM82" s="540"/>
      <c r="AN82" s="535"/>
    </row>
    <row r="83" spans="1:43" s="536" customFormat="1" ht="12.75" customHeight="1">
      <c r="A83" s="559"/>
      <c r="B83" s="560"/>
      <c r="C83" s="560"/>
      <c r="D83" s="560"/>
      <c r="E83" s="560"/>
      <c r="F83" s="560"/>
      <c r="G83" s="561"/>
      <c r="H83" s="562"/>
      <c r="I83" s="562"/>
      <c r="J83" s="562"/>
      <c r="K83" s="562"/>
      <c r="L83" s="562"/>
      <c r="M83" s="562"/>
      <c r="N83" s="562"/>
      <c r="O83" s="562"/>
      <c r="P83" s="562"/>
      <c r="Q83" s="562"/>
      <c r="R83" s="562"/>
      <c r="S83" s="562"/>
      <c r="T83" s="562"/>
      <c r="U83" s="562"/>
      <c r="V83" s="562"/>
      <c r="W83" s="562"/>
      <c r="X83" s="562"/>
      <c r="Y83" s="562"/>
      <c r="Z83" s="562"/>
      <c r="AA83" s="562"/>
      <c r="AB83" s="562"/>
      <c r="AC83" s="562"/>
      <c r="AD83" s="562"/>
      <c r="AE83" s="562"/>
      <c r="AF83" s="562"/>
      <c r="AG83" s="562"/>
      <c r="AH83" s="562"/>
      <c r="AI83" s="563"/>
      <c r="AJ83" s="563" t="s">
        <v>1315</v>
      </c>
      <c r="AK83" s="2581">
        <f>IF(AK61&gt;0,0,AO71)</f>
        <v>10</v>
      </c>
      <c r="AL83" s="2582"/>
      <c r="AM83" s="2583"/>
      <c r="AN83" s="535"/>
    </row>
    <row r="84" spans="1:43" s="536" customFormat="1" ht="12.75" customHeight="1" thickBot="1">
      <c r="A84" s="564"/>
      <c r="B84" s="565"/>
      <c r="C84" s="566"/>
      <c r="D84" s="566"/>
      <c r="E84" s="566"/>
      <c r="F84" s="566"/>
      <c r="G84" s="566"/>
      <c r="H84" s="566"/>
      <c r="I84" s="566"/>
      <c r="J84" s="566"/>
      <c r="K84" s="566"/>
      <c r="L84" s="566"/>
      <c r="M84" s="566"/>
      <c r="N84" s="566"/>
      <c r="O84" s="566"/>
      <c r="P84" s="566"/>
      <c r="Q84" s="566"/>
      <c r="R84" s="566"/>
      <c r="S84" s="566"/>
      <c r="T84" s="566"/>
      <c r="U84" s="566"/>
      <c r="V84" s="566"/>
      <c r="W84" s="566"/>
      <c r="X84" s="566"/>
      <c r="Y84" s="566"/>
      <c r="Z84" s="566"/>
      <c r="AA84" s="566"/>
      <c r="AB84" s="566"/>
      <c r="AC84" s="566"/>
      <c r="AD84" s="566"/>
      <c r="AE84" s="566"/>
      <c r="AF84" s="566"/>
      <c r="AG84" s="566"/>
      <c r="AH84" s="566"/>
      <c r="AI84" s="566"/>
      <c r="AJ84" s="566"/>
      <c r="AK84" s="566"/>
      <c r="AL84" s="566"/>
      <c r="AM84" s="567"/>
      <c r="AN84" s="535"/>
    </row>
    <row r="85" spans="1:43" s="536" customFormat="1" ht="12.75" customHeight="1" thickTop="1">
      <c r="A85" s="568"/>
      <c r="B85" s="569"/>
      <c r="C85" s="570"/>
      <c r="D85" s="570"/>
      <c r="E85" s="570"/>
      <c r="F85" s="570"/>
      <c r="G85" s="570"/>
      <c r="H85" s="570"/>
      <c r="I85" s="571"/>
      <c r="J85" s="571"/>
      <c r="K85" s="571"/>
      <c r="L85" s="571"/>
      <c r="M85" s="571"/>
      <c r="N85" s="571"/>
      <c r="O85" s="571"/>
      <c r="P85" s="571"/>
      <c r="Q85" s="571"/>
      <c r="R85" s="568"/>
      <c r="S85" s="539"/>
      <c r="T85" s="539"/>
      <c r="U85" s="539"/>
      <c r="V85" s="539"/>
      <c r="W85" s="539"/>
      <c r="X85" s="539"/>
      <c r="Y85" s="539"/>
      <c r="Z85" s="539"/>
      <c r="AA85" s="539"/>
      <c r="AB85" s="539"/>
      <c r="AC85" s="539"/>
      <c r="AD85" s="539"/>
      <c r="AE85" s="539"/>
      <c r="AF85" s="568"/>
      <c r="AG85" s="539"/>
      <c r="AH85" s="539"/>
      <c r="AI85" s="539"/>
      <c r="AJ85" s="539"/>
      <c r="AK85" s="549"/>
      <c r="AL85" s="549"/>
      <c r="AM85" s="549"/>
      <c r="AN85" s="535"/>
    </row>
    <row r="86" spans="1:43" s="536" customFormat="1" ht="12.75" customHeight="1">
      <c r="A86" s="538" t="s">
        <v>1316</v>
      </c>
      <c r="B86" s="539" t="s">
        <v>1317</v>
      </c>
      <c r="C86" s="539"/>
      <c r="D86" s="539"/>
      <c r="E86" s="539"/>
      <c r="F86" s="539"/>
      <c r="G86" s="539"/>
      <c r="H86" s="539"/>
      <c r="I86" s="539"/>
      <c r="J86" s="539"/>
      <c r="K86" s="539"/>
      <c r="L86" s="539"/>
      <c r="M86" s="539"/>
      <c r="N86" s="539"/>
      <c r="O86" s="539"/>
      <c r="P86" s="539"/>
      <c r="Q86" s="539"/>
      <c r="R86" s="539"/>
      <c r="S86" s="539"/>
      <c r="T86" s="539"/>
      <c r="U86" s="539"/>
      <c r="V86" s="539"/>
      <c r="W86" s="539"/>
      <c r="X86" s="539"/>
      <c r="Y86" s="539"/>
      <c r="Z86" s="539"/>
      <c r="AA86" s="539"/>
      <c r="AB86" s="539"/>
      <c r="AC86" s="539"/>
      <c r="AD86" s="539"/>
      <c r="AE86" s="2447" t="s">
        <v>1303</v>
      </c>
      <c r="AF86" s="2447"/>
      <c r="AG86" s="2447"/>
      <c r="AH86" s="2447"/>
      <c r="AI86" s="2447"/>
      <c r="AJ86" s="2447"/>
      <c r="AK86" s="2447"/>
      <c r="AL86" s="540"/>
      <c r="AM86" s="540"/>
      <c r="AN86" s="535"/>
    </row>
    <row r="87" spans="1:43" s="536" customFormat="1" ht="12.75" customHeight="1">
      <c r="A87" s="538"/>
      <c r="B87" s="539" t="s">
        <v>1318</v>
      </c>
      <c r="C87" s="539"/>
      <c r="D87" s="539"/>
      <c r="E87" s="539"/>
      <c r="F87" s="539"/>
      <c r="G87" s="539"/>
      <c r="H87" s="539"/>
      <c r="I87" s="539"/>
      <c r="J87" s="539"/>
      <c r="K87" s="539"/>
      <c r="L87" s="539"/>
      <c r="M87" s="539"/>
      <c r="N87" s="539"/>
      <c r="O87" s="539"/>
      <c r="P87" s="539"/>
      <c r="Q87" s="539"/>
      <c r="R87" s="539"/>
      <c r="S87" s="539"/>
      <c r="T87" s="539"/>
      <c r="U87" s="539"/>
      <c r="V87" s="539"/>
      <c r="W87" s="539"/>
      <c r="X87" s="539"/>
      <c r="Y87" s="539"/>
      <c r="Z87" s="539"/>
      <c r="AA87" s="539"/>
      <c r="AB87" s="539"/>
      <c r="AC87" s="539"/>
      <c r="AD87" s="539"/>
      <c r="AE87" s="543"/>
      <c r="AF87" s="543"/>
      <c r="AG87" s="543"/>
      <c r="AH87" s="543"/>
      <c r="AI87" s="543"/>
      <c r="AJ87" s="543"/>
      <c r="AK87" s="543"/>
      <c r="AL87" s="540"/>
      <c r="AM87" s="540"/>
      <c r="AN87" s="535"/>
    </row>
    <row r="88" spans="1:43" s="536" customFormat="1" ht="12.75" customHeight="1">
      <c r="A88" s="538"/>
      <c r="B88" s="539"/>
      <c r="C88" s="539"/>
      <c r="D88" s="539"/>
      <c r="E88" s="539"/>
      <c r="F88" s="539"/>
      <c r="G88" s="539"/>
      <c r="H88" s="539"/>
      <c r="I88" s="539"/>
      <c r="J88" s="539"/>
      <c r="K88" s="539"/>
      <c r="L88" s="539"/>
      <c r="M88" s="539"/>
      <c r="N88" s="539"/>
      <c r="O88" s="539"/>
      <c r="P88" s="539"/>
      <c r="Q88" s="539"/>
      <c r="R88" s="539"/>
      <c r="S88" s="539"/>
      <c r="T88" s="539"/>
      <c r="U88" s="539"/>
      <c r="V88" s="539"/>
      <c r="W88" s="539"/>
      <c r="X88" s="539"/>
      <c r="Y88" s="539"/>
      <c r="Z88" s="539"/>
      <c r="AA88" s="539"/>
      <c r="AB88" s="539"/>
      <c r="AC88" s="539"/>
      <c r="AD88" s="539"/>
      <c r="AE88" s="543"/>
      <c r="AF88" s="543"/>
      <c r="AG88" s="543"/>
      <c r="AH88" s="543"/>
      <c r="AI88" s="543"/>
      <c r="AJ88" s="543"/>
      <c r="AK88" s="543"/>
      <c r="AL88" s="540"/>
      <c r="AM88" s="540"/>
      <c r="AN88" s="535"/>
    </row>
    <row r="89" spans="1:43" s="536" customFormat="1" ht="12.75" customHeight="1">
      <c r="A89" s="538"/>
      <c r="B89" s="2589" t="s">
        <v>591</v>
      </c>
      <c r="C89" s="2589"/>
      <c r="D89" s="546" t="s">
        <v>1309</v>
      </c>
      <c r="E89" s="2590" t="s">
        <v>1319</v>
      </c>
      <c r="F89" s="2591"/>
      <c r="G89" s="2591"/>
      <c r="H89" s="2591"/>
      <c r="I89" s="2591"/>
      <c r="J89" s="2591"/>
      <c r="K89" s="2591"/>
      <c r="L89" s="2591"/>
      <c r="M89" s="2591"/>
      <c r="N89" s="2591"/>
      <c r="O89" s="2591"/>
      <c r="P89" s="2591"/>
      <c r="Q89" s="2591"/>
      <c r="R89" s="2591"/>
      <c r="S89" s="2591"/>
      <c r="T89" s="2591"/>
      <c r="U89" s="2591"/>
      <c r="V89" s="2591"/>
      <c r="W89" s="2591"/>
      <c r="X89" s="2591"/>
      <c r="Y89" s="2591"/>
      <c r="Z89" s="2591"/>
      <c r="AA89" s="2591"/>
      <c r="AB89" s="2591"/>
      <c r="AC89" s="2591"/>
      <c r="AD89" s="2591"/>
      <c r="AE89" s="2591"/>
      <c r="AF89" s="2591"/>
      <c r="AG89" s="2591"/>
      <c r="AH89" s="2591"/>
      <c r="AI89" s="2591"/>
      <c r="AJ89" s="2592"/>
      <c r="AK89" s="543"/>
      <c r="AL89" s="540"/>
      <c r="AM89" s="540"/>
      <c r="AN89" s="535"/>
    </row>
    <row r="90" spans="1:43" s="536" customFormat="1" ht="12.75" customHeight="1">
      <c r="A90" s="538"/>
      <c r="B90" s="539"/>
      <c r="C90" s="539"/>
      <c r="D90" s="539"/>
      <c r="E90" s="2593"/>
      <c r="F90" s="2594"/>
      <c r="G90" s="2594"/>
      <c r="H90" s="2594"/>
      <c r="I90" s="2594"/>
      <c r="J90" s="2594"/>
      <c r="K90" s="2594"/>
      <c r="L90" s="2594"/>
      <c r="M90" s="2594"/>
      <c r="N90" s="2594"/>
      <c r="O90" s="2594"/>
      <c r="P90" s="2594"/>
      <c r="Q90" s="2594"/>
      <c r="R90" s="2594"/>
      <c r="S90" s="2594"/>
      <c r="T90" s="2594"/>
      <c r="U90" s="2594"/>
      <c r="V90" s="2594"/>
      <c r="W90" s="2594"/>
      <c r="X90" s="2594"/>
      <c r="Y90" s="2594"/>
      <c r="Z90" s="2594"/>
      <c r="AA90" s="2594"/>
      <c r="AB90" s="2594"/>
      <c r="AC90" s="2594"/>
      <c r="AD90" s="2594"/>
      <c r="AE90" s="2594"/>
      <c r="AF90" s="2594"/>
      <c r="AG90" s="2594"/>
      <c r="AH90" s="2594"/>
      <c r="AI90" s="2594"/>
      <c r="AJ90" s="2595"/>
      <c r="AK90" s="543"/>
      <c r="AL90" s="540"/>
      <c r="AM90" s="540"/>
      <c r="AN90" s="535"/>
    </row>
    <row r="91" spans="1:43" s="536" customFormat="1" ht="12.75" customHeight="1">
      <c r="A91" s="538"/>
      <c r="B91" s="539"/>
      <c r="C91" s="539"/>
      <c r="D91" s="539"/>
      <c r="E91" s="574"/>
      <c r="F91" s="575"/>
      <c r="G91" s="575"/>
      <c r="H91" s="575"/>
      <c r="I91" s="575"/>
      <c r="J91" s="575"/>
      <c r="K91" s="575"/>
      <c r="L91" s="575"/>
      <c r="M91" s="575"/>
      <c r="N91" s="575"/>
      <c r="O91" s="575"/>
      <c r="P91" s="575"/>
      <c r="Q91" s="575"/>
      <c r="R91" s="575"/>
      <c r="S91" s="575"/>
      <c r="T91" s="575"/>
      <c r="U91" s="575"/>
      <c r="V91" s="575"/>
      <c r="W91" s="575"/>
      <c r="X91" s="575"/>
      <c r="Y91" s="575"/>
      <c r="Z91" s="576"/>
      <c r="AA91" s="576"/>
      <c r="AB91" s="576"/>
      <c r="AC91" s="575"/>
      <c r="AD91" s="575"/>
      <c r="AE91" s="575"/>
      <c r="AF91" s="575"/>
      <c r="AG91" s="575"/>
      <c r="AH91" s="575"/>
      <c r="AI91" s="575"/>
      <c r="AJ91" s="577"/>
      <c r="AK91" s="543"/>
      <c r="AL91" s="540"/>
      <c r="AM91" s="540"/>
      <c r="AN91" s="535"/>
    </row>
    <row r="92" spans="1:43" s="536" customFormat="1" ht="12.75" customHeight="1">
      <c r="A92" s="538"/>
      <c r="B92" s="539"/>
      <c r="C92" s="539"/>
      <c r="D92" s="539"/>
      <c r="E92" s="2602">
        <f>Application!AC761</f>
        <v>0.59375</v>
      </c>
      <c r="F92" s="2603"/>
      <c r="G92" s="2603"/>
      <c r="H92" s="2603"/>
      <c r="I92" s="575"/>
      <c r="J92" s="578" t="s">
        <v>1320</v>
      </c>
      <c r="K92" s="575"/>
      <c r="L92" s="575"/>
      <c r="M92" s="575"/>
      <c r="N92" s="575"/>
      <c r="O92" s="575"/>
      <c r="P92" s="575"/>
      <c r="Q92" s="575"/>
      <c r="R92" s="575"/>
      <c r="S92" s="575"/>
      <c r="T92" s="575"/>
      <c r="U92" s="575"/>
      <c r="V92" s="575"/>
      <c r="W92" s="575"/>
      <c r="X92" s="575"/>
      <c r="Y92" s="575"/>
      <c r="Z92" s="579"/>
      <c r="AA92" s="579"/>
      <c r="AB92" s="579"/>
      <c r="AC92" s="575"/>
      <c r="AD92" s="575"/>
      <c r="AE92" s="575"/>
      <c r="AF92" s="575"/>
      <c r="AG92" s="575"/>
      <c r="AH92" s="575"/>
      <c r="AI92" s="575"/>
      <c r="AJ92" s="577"/>
      <c r="AK92" s="543"/>
      <c r="AL92" s="540"/>
      <c r="AM92" s="540"/>
      <c r="AN92" s="535"/>
    </row>
    <row r="93" spans="1:43" s="536" customFormat="1" ht="12.75" customHeight="1">
      <c r="A93" s="538"/>
      <c r="B93" s="539"/>
      <c r="C93" s="539"/>
      <c r="D93" s="539"/>
      <c r="E93" s="2634">
        <f>0.6-ROUNDUP(E92,2)</f>
        <v>0</v>
      </c>
      <c r="F93" s="2421"/>
      <c r="G93" s="2421"/>
      <c r="H93" s="2421"/>
      <c r="I93" s="575"/>
      <c r="J93" s="578" t="s">
        <v>1321</v>
      </c>
      <c r="K93" s="575"/>
      <c r="L93" s="575"/>
      <c r="M93" s="575"/>
      <c r="N93" s="575"/>
      <c r="O93" s="575"/>
      <c r="P93" s="575"/>
      <c r="Q93" s="575"/>
      <c r="R93" s="575"/>
      <c r="S93" s="575"/>
      <c r="T93" s="575"/>
      <c r="U93" s="575"/>
      <c r="V93" s="575"/>
      <c r="W93" s="575"/>
      <c r="X93" s="575"/>
      <c r="Y93" s="575"/>
      <c r="Z93" s="575"/>
      <c r="AA93" s="575"/>
      <c r="AB93" s="575"/>
      <c r="AC93" s="575"/>
      <c r="AD93" s="575"/>
      <c r="AE93" s="575"/>
      <c r="AF93" s="575"/>
      <c r="AG93" s="575"/>
      <c r="AH93" s="575"/>
      <c r="AI93" s="575"/>
      <c r="AJ93" s="577"/>
      <c r="AK93" s="543"/>
      <c r="AL93" s="540"/>
      <c r="AM93" s="540"/>
      <c r="AN93" s="535"/>
    </row>
    <row r="94" spans="1:43" s="536" customFormat="1" ht="12.75" customHeight="1">
      <c r="A94" s="538"/>
      <c r="B94" s="539"/>
      <c r="C94" s="539"/>
      <c r="D94" s="539"/>
      <c r="E94" s="2613">
        <f>IF(E93*200&gt;20,20,E93*200)</f>
        <v>0</v>
      </c>
      <c r="F94" s="2614"/>
      <c r="G94" s="2614"/>
      <c r="H94" s="2614"/>
      <c r="I94" s="575"/>
      <c r="J94" s="578" t="s">
        <v>1322</v>
      </c>
      <c r="K94" s="575"/>
      <c r="L94" s="575"/>
      <c r="M94" s="575"/>
      <c r="N94" s="575"/>
      <c r="O94" s="575"/>
      <c r="P94" s="575"/>
      <c r="Q94" s="575"/>
      <c r="R94" s="575"/>
      <c r="S94" s="575"/>
      <c r="T94" s="575"/>
      <c r="U94" s="575"/>
      <c r="V94" s="575"/>
      <c r="W94" s="575"/>
      <c r="X94" s="575"/>
      <c r="Y94" s="575"/>
      <c r="Z94" s="575"/>
      <c r="AA94" s="575"/>
      <c r="AB94" s="575"/>
      <c r="AC94" s="575"/>
      <c r="AD94" s="575"/>
      <c r="AE94" s="575"/>
      <c r="AF94" s="575"/>
      <c r="AG94" s="575"/>
      <c r="AH94" s="575"/>
      <c r="AI94" s="575"/>
      <c r="AJ94" s="577"/>
      <c r="AK94" s="543"/>
      <c r="AL94" s="540"/>
      <c r="AM94" s="540"/>
      <c r="AN94" s="535"/>
      <c r="AP94" s="536">
        <f>IF(B89="yes",E94,0)</f>
        <v>0</v>
      </c>
      <c r="AQ94" s="536" t="s">
        <v>1305</v>
      </c>
    </row>
    <row r="95" spans="1:43" s="536" customFormat="1" ht="12.75" customHeight="1">
      <c r="A95" s="538"/>
      <c r="B95" s="539"/>
      <c r="C95" s="539"/>
      <c r="D95" s="539"/>
      <c r="E95" s="580"/>
      <c r="F95" s="581"/>
      <c r="G95" s="581"/>
      <c r="H95" s="581"/>
      <c r="I95" s="581"/>
      <c r="J95" s="581"/>
      <c r="K95" s="581"/>
      <c r="L95" s="581"/>
      <c r="M95" s="581"/>
      <c r="N95" s="581"/>
      <c r="O95" s="581"/>
      <c r="P95" s="581"/>
      <c r="Q95" s="581"/>
      <c r="R95" s="581"/>
      <c r="S95" s="581"/>
      <c r="T95" s="581"/>
      <c r="U95" s="581"/>
      <c r="V95" s="581"/>
      <c r="W95" s="581"/>
      <c r="X95" s="581"/>
      <c r="Y95" s="581"/>
      <c r="Z95" s="581"/>
      <c r="AA95" s="581"/>
      <c r="AB95" s="581"/>
      <c r="AC95" s="581"/>
      <c r="AD95" s="581"/>
      <c r="AE95" s="582"/>
      <c r="AF95" s="582"/>
      <c r="AG95" s="582"/>
      <c r="AH95" s="582"/>
      <c r="AI95" s="582"/>
      <c r="AJ95" s="583"/>
      <c r="AK95" s="543"/>
      <c r="AL95" s="540"/>
      <c r="AM95" s="540"/>
      <c r="AN95" s="535"/>
    </row>
    <row r="96" spans="1:43" s="536" customFormat="1" ht="12.75" customHeight="1">
      <c r="A96" s="538"/>
      <c r="B96" s="539"/>
      <c r="C96" s="539"/>
      <c r="D96" s="539"/>
      <c r="E96" s="539"/>
      <c r="F96" s="539"/>
      <c r="G96" s="539"/>
      <c r="H96" s="539"/>
      <c r="I96" s="539"/>
      <c r="J96" s="539"/>
      <c r="K96" s="539"/>
      <c r="L96" s="539"/>
      <c r="M96" s="539"/>
      <c r="N96" s="539"/>
      <c r="O96" s="539"/>
      <c r="P96" s="539"/>
      <c r="Q96" s="539"/>
      <c r="R96" s="539"/>
      <c r="S96" s="539"/>
      <c r="T96" s="539"/>
      <c r="U96" s="539"/>
      <c r="V96" s="539"/>
      <c r="W96" s="539"/>
      <c r="X96" s="539"/>
      <c r="Y96" s="539"/>
      <c r="Z96" s="539"/>
      <c r="AA96" s="539"/>
      <c r="AB96" s="539"/>
      <c r="AC96" s="539"/>
      <c r="AD96" s="539"/>
      <c r="AE96" s="543"/>
      <c r="AF96" s="543"/>
      <c r="AG96" s="543"/>
      <c r="AH96" s="543"/>
      <c r="AI96" s="543"/>
      <c r="AJ96" s="543"/>
      <c r="AK96" s="543"/>
      <c r="AL96" s="540"/>
      <c r="AM96" s="540"/>
      <c r="AN96" s="535"/>
    </row>
    <row r="97" spans="1:47" s="536" customFormat="1" ht="12.75" customHeight="1">
      <c r="A97" s="538"/>
      <c r="B97" s="2589" t="s">
        <v>545</v>
      </c>
      <c r="C97" s="2589"/>
      <c r="D97" s="546" t="s">
        <v>1311</v>
      </c>
      <c r="E97" s="2590" t="s">
        <v>1714</v>
      </c>
      <c r="F97" s="2591"/>
      <c r="G97" s="2591"/>
      <c r="H97" s="2591"/>
      <c r="I97" s="2591"/>
      <c r="J97" s="2591"/>
      <c r="K97" s="2591"/>
      <c r="L97" s="2591"/>
      <c r="M97" s="2591"/>
      <c r="N97" s="2591"/>
      <c r="O97" s="2591"/>
      <c r="P97" s="2591"/>
      <c r="Q97" s="2591"/>
      <c r="R97" s="2591"/>
      <c r="S97" s="2591"/>
      <c r="T97" s="2591"/>
      <c r="U97" s="2591"/>
      <c r="V97" s="2591"/>
      <c r="W97" s="2591"/>
      <c r="X97" s="2591"/>
      <c r="Y97" s="2591"/>
      <c r="Z97" s="2591"/>
      <c r="AA97" s="2591"/>
      <c r="AB97" s="2591"/>
      <c r="AC97" s="2591"/>
      <c r="AD97" s="2591"/>
      <c r="AE97" s="2591"/>
      <c r="AF97" s="2591"/>
      <c r="AG97" s="2591"/>
      <c r="AH97" s="2591"/>
      <c r="AI97" s="2591"/>
      <c r="AJ97" s="2592"/>
      <c r="AK97" s="543"/>
      <c r="AL97" s="540"/>
      <c r="AM97" s="540"/>
      <c r="AN97" s="535"/>
    </row>
    <row r="98" spans="1:47" s="536" customFormat="1" ht="12.75" customHeight="1">
      <c r="A98" s="538"/>
      <c r="B98" s="539"/>
      <c r="C98" s="539"/>
      <c r="D98" s="539"/>
      <c r="E98" s="2593"/>
      <c r="F98" s="2594"/>
      <c r="G98" s="2594"/>
      <c r="H98" s="2594"/>
      <c r="I98" s="2594"/>
      <c r="J98" s="2594"/>
      <c r="K98" s="2594"/>
      <c r="L98" s="2594"/>
      <c r="M98" s="2594"/>
      <c r="N98" s="2594"/>
      <c r="O98" s="2594"/>
      <c r="P98" s="2594"/>
      <c r="Q98" s="2594"/>
      <c r="R98" s="2594"/>
      <c r="S98" s="2594"/>
      <c r="T98" s="2594"/>
      <c r="U98" s="2594"/>
      <c r="V98" s="2594"/>
      <c r="W98" s="2594"/>
      <c r="X98" s="2594"/>
      <c r="Y98" s="2594"/>
      <c r="Z98" s="2594"/>
      <c r="AA98" s="2594"/>
      <c r="AB98" s="2594"/>
      <c r="AC98" s="2594"/>
      <c r="AD98" s="2594"/>
      <c r="AE98" s="2594"/>
      <c r="AF98" s="2594"/>
      <c r="AG98" s="2594"/>
      <c r="AH98" s="2594"/>
      <c r="AI98" s="2594"/>
      <c r="AJ98" s="2595"/>
      <c r="AK98" s="543"/>
      <c r="AL98" s="540"/>
      <c r="AM98" s="540"/>
      <c r="AN98" s="535"/>
    </row>
    <row r="99" spans="1:47" s="536" customFormat="1" ht="12.75" customHeight="1">
      <c r="A99" s="538"/>
      <c r="B99" s="539"/>
      <c r="C99" s="539"/>
      <c r="D99" s="539"/>
      <c r="E99" s="2593"/>
      <c r="F99" s="2594"/>
      <c r="G99" s="2594"/>
      <c r="H99" s="2594"/>
      <c r="I99" s="2594"/>
      <c r="J99" s="2594"/>
      <c r="K99" s="2594"/>
      <c r="L99" s="2594"/>
      <c r="M99" s="2594"/>
      <c r="N99" s="2594"/>
      <c r="O99" s="2594"/>
      <c r="P99" s="2594"/>
      <c r="Q99" s="2594"/>
      <c r="R99" s="2594"/>
      <c r="S99" s="2594"/>
      <c r="T99" s="2594"/>
      <c r="U99" s="2594"/>
      <c r="V99" s="2594"/>
      <c r="W99" s="2594"/>
      <c r="X99" s="2594"/>
      <c r="Y99" s="2594"/>
      <c r="Z99" s="2594"/>
      <c r="AA99" s="2594"/>
      <c r="AB99" s="2594"/>
      <c r="AC99" s="2594"/>
      <c r="AD99" s="2594"/>
      <c r="AE99" s="2594"/>
      <c r="AF99" s="2594"/>
      <c r="AG99" s="2594"/>
      <c r="AH99" s="2594"/>
      <c r="AI99" s="2594"/>
      <c r="AJ99" s="2595"/>
      <c r="AK99" s="543"/>
      <c r="AL99" s="540"/>
      <c r="AM99" s="540"/>
      <c r="AN99" s="535"/>
    </row>
    <row r="100" spans="1:47" s="536" customFormat="1" ht="12.75" customHeight="1">
      <c r="A100" s="538"/>
      <c r="B100" s="539"/>
      <c r="C100" s="539"/>
      <c r="D100" s="539"/>
      <c r="E100" s="2593"/>
      <c r="F100" s="2594"/>
      <c r="G100" s="2594"/>
      <c r="H100" s="2594"/>
      <c r="I100" s="2594"/>
      <c r="J100" s="2594"/>
      <c r="K100" s="2594"/>
      <c r="L100" s="2594"/>
      <c r="M100" s="2594"/>
      <c r="N100" s="2594"/>
      <c r="O100" s="2594"/>
      <c r="P100" s="2594"/>
      <c r="Q100" s="2594"/>
      <c r="R100" s="2594"/>
      <c r="S100" s="2594"/>
      <c r="T100" s="2594"/>
      <c r="U100" s="2594"/>
      <c r="V100" s="2594"/>
      <c r="W100" s="2594"/>
      <c r="X100" s="2594"/>
      <c r="Y100" s="2594"/>
      <c r="Z100" s="2594"/>
      <c r="AA100" s="2594"/>
      <c r="AB100" s="2594"/>
      <c r="AC100" s="2594"/>
      <c r="AD100" s="2594"/>
      <c r="AE100" s="2594"/>
      <c r="AF100" s="2594"/>
      <c r="AG100" s="2594"/>
      <c r="AH100" s="2594"/>
      <c r="AI100" s="2594"/>
      <c r="AJ100" s="2595"/>
      <c r="AK100" s="543"/>
      <c r="AL100" s="540"/>
      <c r="AM100" s="540"/>
      <c r="AN100" s="535"/>
    </row>
    <row r="101" spans="1:47" s="536" customFormat="1" ht="12.75" customHeight="1">
      <c r="A101" s="538"/>
      <c r="B101" s="539"/>
      <c r="C101" s="539"/>
      <c r="D101" s="539"/>
      <c r="E101" s="584"/>
      <c r="F101" s="551"/>
      <c r="G101" s="551"/>
      <c r="H101" s="551"/>
      <c r="I101" s="551"/>
      <c r="J101" s="551"/>
      <c r="K101" s="551"/>
      <c r="L101" s="551"/>
      <c r="M101" s="551"/>
      <c r="N101" s="551"/>
      <c r="O101" s="551"/>
      <c r="P101" s="551"/>
      <c r="Q101" s="551"/>
      <c r="R101" s="551"/>
      <c r="S101" s="551"/>
      <c r="T101" s="551"/>
      <c r="U101" s="551"/>
      <c r="V101" s="551"/>
      <c r="W101" s="551"/>
      <c r="X101" s="551"/>
      <c r="Y101" s="551"/>
      <c r="Z101" s="551"/>
      <c r="AA101" s="551"/>
      <c r="AB101" s="551"/>
      <c r="AC101" s="551"/>
      <c r="AD101" s="551"/>
      <c r="AE101" s="551"/>
      <c r="AF101" s="551"/>
      <c r="AG101" s="551"/>
      <c r="AH101" s="551"/>
      <c r="AI101" s="551"/>
      <c r="AJ101" s="552"/>
      <c r="AK101" s="543"/>
      <c r="AL101" s="540"/>
      <c r="AM101" s="540"/>
      <c r="AN101" s="535"/>
    </row>
    <row r="102" spans="1:47" s="536" customFormat="1" ht="12.75" customHeight="1">
      <c r="A102" s="538"/>
      <c r="B102" s="539"/>
      <c r="C102" s="539"/>
      <c r="D102" s="539"/>
      <c r="E102" s="2602">
        <f>Application!AC761</f>
        <v>0.59375</v>
      </c>
      <c r="F102" s="2603"/>
      <c r="G102" s="2603"/>
      <c r="H102" s="2603"/>
      <c r="I102" s="575"/>
      <c r="J102" s="578" t="s">
        <v>1320</v>
      </c>
      <c r="K102" s="575"/>
      <c r="L102" s="575"/>
      <c r="M102" s="575"/>
      <c r="N102" s="575"/>
      <c r="O102" s="575"/>
      <c r="P102" s="575"/>
      <c r="Q102" s="575"/>
      <c r="R102" s="551"/>
      <c r="S102" s="551"/>
      <c r="T102" s="551"/>
      <c r="U102" s="551"/>
      <c r="V102" s="551"/>
      <c r="W102" s="551"/>
      <c r="X102" s="551"/>
      <c r="Y102" s="551"/>
      <c r="Z102" s="551"/>
      <c r="AA102" s="551"/>
      <c r="AB102" s="551"/>
      <c r="AC102" s="551"/>
      <c r="AD102" s="551"/>
      <c r="AE102" s="551"/>
      <c r="AF102" s="551"/>
      <c r="AG102" s="551"/>
      <c r="AH102" s="551"/>
      <c r="AI102" s="551"/>
      <c r="AJ102" s="552"/>
      <c r="AK102" s="543"/>
      <c r="AL102" s="540"/>
      <c r="AM102" s="540"/>
      <c r="AN102" s="535"/>
    </row>
    <row r="103" spans="1:47" s="536" customFormat="1" ht="12.75" customHeight="1">
      <c r="A103" s="538"/>
      <c r="B103" s="539"/>
      <c r="C103" s="539"/>
      <c r="D103" s="539"/>
      <c r="E103" s="2602">
        <f ca="1">SUMIF(Application!AC726:AG760,0.2,Application!G726:J760)/Application!G761+SUMIF(Application!AC726:AG760,0.25,Application!G726:J760)/Application!G761+SUMIF(Application!AC726:AG760,0.3,Application!G726:J760)/Application!G761</f>
        <v>0.14583333333333334</v>
      </c>
      <c r="F103" s="2603"/>
      <c r="G103" s="2603"/>
      <c r="H103" s="2603"/>
      <c r="I103" s="575"/>
      <c r="J103" s="578" t="s">
        <v>1323</v>
      </c>
      <c r="K103" s="575"/>
      <c r="L103" s="575"/>
      <c r="M103" s="575"/>
      <c r="N103" s="575"/>
      <c r="O103" s="575"/>
      <c r="P103" s="575"/>
      <c r="Q103" s="575"/>
      <c r="R103" s="551"/>
      <c r="S103" s="551"/>
      <c r="T103" s="551"/>
      <c r="U103" s="551"/>
      <c r="V103" s="551"/>
      <c r="W103" s="551"/>
      <c r="X103" s="551"/>
      <c r="Y103" s="551"/>
      <c r="Z103" s="551"/>
      <c r="AA103" s="551"/>
      <c r="AB103" s="551"/>
      <c r="AC103" s="551"/>
      <c r="AD103" s="551"/>
      <c r="AE103" s="551"/>
      <c r="AF103" s="551"/>
      <c r="AG103" s="551"/>
      <c r="AH103" s="551"/>
      <c r="AI103" s="551"/>
      <c r="AJ103" s="552"/>
      <c r="AK103" s="543"/>
      <c r="AL103" s="540"/>
      <c r="AM103" s="540"/>
      <c r="AN103" s="535"/>
      <c r="AU103" s="858"/>
    </row>
    <row r="104" spans="1:47" s="536" customFormat="1" ht="12.75" customHeight="1">
      <c r="A104" s="538"/>
      <c r="B104" s="539"/>
      <c r="C104" s="539"/>
      <c r="D104" s="539"/>
      <c r="E104" s="2602">
        <f ca="1">SUMIF(Application!AC726:AG760,0.35,Application!G726:J760)/Application!G761+SUMIF(Application!AC726:AG760,0.4,Application!G726:J760)/Application!G761+SUMIF(Application!AC726:AG760,0.45,Application!G726:J760)/Application!G761+SUMIF(Application!AC726:AG760,0.5,Application!G726:J760)/Application!G761</f>
        <v>0.20833333333333331</v>
      </c>
      <c r="F104" s="2603"/>
      <c r="G104" s="2603"/>
      <c r="H104" s="2603"/>
      <c r="I104" s="575"/>
      <c r="J104" s="578" t="s">
        <v>1324</v>
      </c>
      <c r="K104" s="575"/>
      <c r="L104" s="575"/>
      <c r="M104" s="575"/>
      <c r="N104" s="575"/>
      <c r="O104" s="575"/>
      <c r="P104" s="575"/>
      <c r="Q104" s="575"/>
      <c r="R104" s="551"/>
      <c r="S104" s="551"/>
      <c r="T104" s="551"/>
      <c r="U104" s="551"/>
      <c r="V104" s="551"/>
      <c r="W104" s="551"/>
      <c r="X104" s="551"/>
      <c r="Y104" s="551"/>
      <c r="Z104" s="551"/>
      <c r="AA104" s="551"/>
      <c r="AB104" s="551"/>
      <c r="AC104" s="551"/>
      <c r="AD104" s="551"/>
      <c r="AE104" s="551"/>
      <c r="AF104" s="551"/>
      <c r="AG104" s="551"/>
      <c r="AH104" s="551"/>
      <c r="AI104" s="551"/>
      <c r="AJ104" s="552"/>
      <c r="AK104" s="543"/>
      <c r="AL104" s="540"/>
      <c r="AM104" s="540"/>
      <c r="AN104" s="535"/>
      <c r="AU104" s="858"/>
    </row>
    <row r="105" spans="1:47" s="536" customFormat="1" ht="12.75" customHeight="1">
      <c r="A105" s="538"/>
      <c r="B105" s="539"/>
      <c r="C105" s="539"/>
      <c r="D105" s="539"/>
      <c r="E105" s="2600">
        <f ca="1">IF(AND(E102&lt;=0.6,OR(AND(E103&gt;=0.1,E104&gt;=0.1),AND(E103&gt;0.1,(E103+E104)&gt;=0.2))),20,0)</f>
        <v>20</v>
      </c>
      <c r="F105" s="2601"/>
      <c r="G105" s="2601"/>
      <c r="H105" s="2601"/>
      <c r="I105" s="551"/>
      <c r="J105" s="585" t="s">
        <v>1322</v>
      </c>
      <c r="K105" s="551"/>
      <c r="L105" s="551"/>
      <c r="M105" s="551"/>
      <c r="N105" s="551"/>
      <c r="O105" s="551"/>
      <c r="P105" s="551"/>
      <c r="Q105" s="551"/>
      <c r="R105" s="551"/>
      <c r="S105" s="551"/>
      <c r="T105" s="551"/>
      <c r="U105" s="551"/>
      <c r="V105" s="551"/>
      <c r="W105" s="551"/>
      <c r="X105" s="551"/>
      <c r="Y105" s="551"/>
      <c r="Z105" s="551"/>
      <c r="AA105" s="551"/>
      <c r="AB105" s="551"/>
      <c r="AC105" s="551"/>
      <c r="AD105" s="551"/>
      <c r="AE105" s="551"/>
      <c r="AF105" s="551"/>
      <c r="AG105" s="551"/>
      <c r="AH105" s="551"/>
      <c r="AI105" s="551"/>
      <c r="AJ105" s="552"/>
      <c r="AK105" s="543"/>
      <c r="AL105" s="540"/>
      <c r="AM105" s="540"/>
      <c r="AN105" s="535"/>
      <c r="AP105" s="536">
        <f ca="1">IF(B97="yes",E105,0)</f>
        <v>20</v>
      </c>
      <c r="AQ105" s="536" t="s">
        <v>1305</v>
      </c>
    </row>
    <row r="106" spans="1:47" s="536" customFormat="1" ht="12.75" customHeight="1">
      <c r="A106" s="538"/>
      <c r="B106" s="539"/>
      <c r="C106" s="539"/>
      <c r="D106" s="539"/>
      <c r="E106" s="580"/>
      <c r="F106" s="581"/>
      <c r="G106" s="581"/>
      <c r="H106" s="581"/>
      <c r="I106" s="581"/>
      <c r="J106" s="581"/>
      <c r="K106" s="581"/>
      <c r="L106" s="581"/>
      <c r="M106" s="581"/>
      <c r="N106" s="581"/>
      <c r="O106" s="581"/>
      <c r="P106" s="581"/>
      <c r="Q106" s="581"/>
      <c r="R106" s="581"/>
      <c r="S106" s="581"/>
      <c r="T106" s="581"/>
      <c r="U106" s="581"/>
      <c r="V106" s="581"/>
      <c r="W106" s="581"/>
      <c r="X106" s="581"/>
      <c r="Y106" s="581"/>
      <c r="Z106" s="581"/>
      <c r="AA106" s="581"/>
      <c r="AB106" s="581"/>
      <c r="AC106" s="581"/>
      <c r="AD106" s="581"/>
      <c r="AE106" s="582"/>
      <c r="AF106" s="582"/>
      <c r="AG106" s="582"/>
      <c r="AH106" s="582"/>
      <c r="AI106" s="582"/>
      <c r="AJ106" s="583"/>
      <c r="AK106" s="543"/>
      <c r="AL106" s="540"/>
      <c r="AM106" s="540"/>
      <c r="AN106" s="535"/>
    </row>
    <row r="107" spans="1:47" s="536" customFormat="1" ht="12.75" customHeight="1">
      <c r="A107" s="538"/>
      <c r="B107" s="539"/>
      <c r="C107" s="539"/>
      <c r="D107" s="539"/>
      <c r="E107" s="539"/>
      <c r="F107" s="539"/>
      <c r="G107" s="539"/>
      <c r="H107" s="539"/>
      <c r="I107" s="539"/>
      <c r="J107" s="539"/>
      <c r="K107" s="539"/>
      <c r="L107" s="539"/>
      <c r="M107" s="539"/>
      <c r="N107" s="539"/>
      <c r="O107" s="539"/>
      <c r="P107" s="539"/>
      <c r="Q107" s="539"/>
      <c r="R107" s="539"/>
      <c r="S107" s="539"/>
      <c r="T107" s="539"/>
      <c r="U107" s="539"/>
      <c r="V107" s="539"/>
      <c r="W107" s="539"/>
      <c r="X107" s="539"/>
      <c r="Y107" s="539"/>
      <c r="Z107" s="539"/>
      <c r="AA107" s="539"/>
      <c r="AB107" s="539"/>
      <c r="AC107" s="539"/>
      <c r="AD107" s="539"/>
      <c r="AE107" s="543"/>
      <c r="AF107" s="543"/>
      <c r="AG107" s="543"/>
      <c r="AH107" s="543"/>
      <c r="AI107" s="543"/>
      <c r="AJ107" s="543"/>
      <c r="AK107" s="543"/>
      <c r="AL107" s="540"/>
      <c r="AM107" s="540"/>
      <c r="AN107" s="535"/>
    </row>
    <row r="108" spans="1:47" s="536" customFormat="1" ht="12.75" customHeight="1">
      <c r="A108" s="559"/>
      <c r="B108" s="560"/>
      <c r="C108" s="560"/>
      <c r="D108" s="560"/>
      <c r="E108" s="560"/>
      <c r="F108" s="560"/>
      <c r="G108" s="561"/>
      <c r="H108" s="562"/>
      <c r="I108" s="562"/>
      <c r="J108" s="562"/>
      <c r="K108" s="562"/>
      <c r="L108" s="562"/>
      <c r="M108" s="562"/>
      <c r="N108" s="562"/>
      <c r="O108" s="562"/>
      <c r="P108" s="562"/>
      <c r="Q108" s="562"/>
      <c r="R108" s="562"/>
      <c r="S108" s="562"/>
      <c r="T108" s="562"/>
      <c r="U108" s="562"/>
      <c r="V108" s="562"/>
      <c r="W108" s="562"/>
      <c r="X108" s="562"/>
      <c r="Y108" s="562"/>
      <c r="Z108" s="562"/>
      <c r="AA108" s="562"/>
      <c r="AB108" s="562"/>
      <c r="AC108" s="562"/>
      <c r="AD108" s="562"/>
      <c r="AE108" s="562"/>
      <c r="AF108" s="562"/>
      <c r="AG108" s="562"/>
      <c r="AH108" s="562"/>
      <c r="AI108" s="563"/>
      <c r="AJ108" s="563" t="s">
        <v>1325</v>
      </c>
      <c r="AK108" s="2581">
        <f ca="1">MAX(AP94,AP105)</f>
        <v>20</v>
      </c>
      <c r="AL108" s="2582"/>
      <c r="AM108" s="2583"/>
      <c r="AN108" s="535"/>
    </row>
    <row r="109" spans="1:47" s="536" customFormat="1" ht="12.75" customHeight="1" thickBot="1">
      <c r="A109" s="564"/>
      <c r="B109" s="565"/>
      <c r="C109" s="566"/>
      <c r="D109" s="566"/>
      <c r="E109" s="566"/>
      <c r="F109" s="566"/>
      <c r="G109" s="566"/>
      <c r="H109" s="566"/>
      <c r="I109" s="566"/>
      <c r="J109" s="566"/>
      <c r="K109" s="566"/>
      <c r="L109" s="566"/>
      <c r="M109" s="566"/>
      <c r="N109" s="566"/>
      <c r="O109" s="566"/>
      <c r="P109" s="566"/>
      <c r="Q109" s="566"/>
      <c r="R109" s="566"/>
      <c r="S109" s="566"/>
      <c r="T109" s="566"/>
      <c r="U109" s="566"/>
      <c r="V109" s="566"/>
      <c r="W109" s="566"/>
      <c r="X109" s="566"/>
      <c r="Y109" s="566"/>
      <c r="Z109" s="566"/>
      <c r="AA109" s="566"/>
      <c r="AB109" s="566"/>
      <c r="AC109" s="566"/>
      <c r="AD109" s="566"/>
      <c r="AE109" s="566"/>
      <c r="AF109" s="566"/>
      <c r="AG109" s="566"/>
      <c r="AH109" s="566"/>
      <c r="AI109" s="566"/>
      <c r="AJ109" s="566"/>
      <c r="AK109" s="566"/>
      <c r="AL109" s="566"/>
      <c r="AM109" s="567"/>
      <c r="AN109" s="535"/>
    </row>
    <row r="110" spans="1:47" s="536" customFormat="1" ht="12.75" customHeight="1" thickTop="1">
      <c r="A110" s="568"/>
      <c r="B110" s="569"/>
      <c r="C110" s="570"/>
      <c r="D110" s="570"/>
      <c r="E110" s="570"/>
      <c r="F110" s="570"/>
      <c r="G110" s="570"/>
      <c r="H110" s="570"/>
      <c r="I110" s="571"/>
      <c r="J110" s="571"/>
      <c r="K110" s="571"/>
      <c r="L110" s="571"/>
      <c r="M110" s="571"/>
      <c r="N110" s="571"/>
      <c r="O110" s="571"/>
      <c r="P110" s="571"/>
      <c r="Q110" s="571"/>
      <c r="R110" s="568"/>
      <c r="S110" s="539"/>
      <c r="T110" s="539"/>
      <c r="U110" s="539"/>
      <c r="V110" s="539"/>
      <c r="W110" s="539"/>
      <c r="X110" s="539"/>
      <c r="Y110" s="539"/>
      <c r="Z110" s="539"/>
      <c r="AA110" s="539"/>
      <c r="AB110" s="539"/>
      <c r="AC110" s="539"/>
      <c r="AD110" s="539"/>
      <c r="AE110" s="539"/>
      <c r="AF110" s="568"/>
      <c r="AG110" s="539"/>
      <c r="AH110" s="539"/>
      <c r="AI110" s="539"/>
      <c r="AJ110" s="539"/>
      <c r="AK110" s="549"/>
      <c r="AL110" s="549"/>
      <c r="AM110" s="549"/>
      <c r="AN110" s="535"/>
    </row>
    <row r="111" spans="1:47" s="536" customFormat="1" ht="12.75" customHeight="1">
      <c r="A111" s="538" t="s">
        <v>1326</v>
      </c>
      <c r="B111" s="539" t="s">
        <v>1327</v>
      </c>
      <c r="C111" s="539"/>
      <c r="D111" s="539"/>
      <c r="E111" s="539"/>
      <c r="F111" s="539"/>
      <c r="G111" s="539"/>
      <c r="H111" s="539"/>
      <c r="I111" s="539"/>
      <c r="J111" s="539"/>
      <c r="K111" s="539"/>
      <c r="L111" s="539"/>
      <c r="M111" s="539"/>
      <c r="N111" s="539"/>
      <c r="O111" s="539"/>
      <c r="P111" s="539"/>
      <c r="Q111" s="539"/>
      <c r="R111" s="539"/>
      <c r="S111" s="539"/>
      <c r="T111" s="539"/>
      <c r="U111" s="539"/>
      <c r="V111" s="539"/>
      <c r="W111" s="539"/>
      <c r="X111" s="539"/>
      <c r="Y111" s="539"/>
      <c r="Z111" s="539"/>
      <c r="AA111" s="539"/>
      <c r="AB111" s="539"/>
      <c r="AC111" s="539"/>
      <c r="AD111" s="539"/>
      <c r="AE111" s="2447" t="s">
        <v>1308</v>
      </c>
      <c r="AF111" s="2447"/>
      <c r="AG111" s="2447"/>
      <c r="AH111" s="2447"/>
      <c r="AI111" s="2447"/>
      <c r="AJ111" s="2447"/>
      <c r="AK111" s="2447"/>
      <c r="AL111" s="540"/>
      <c r="AM111" s="540"/>
      <c r="AN111" s="535"/>
      <c r="AO111" s="536" t="str">
        <f>Application!B726</f>
        <v>SRO/Studio</v>
      </c>
      <c r="AQ111" s="536">
        <f>Application!O726</f>
        <v>826</v>
      </c>
    </row>
    <row r="112" spans="1:47" s="536" customFormat="1" ht="12.75" customHeight="1">
      <c r="A112" s="540"/>
      <c r="B112" s="539" t="s">
        <v>1318</v>
      </c>
      <c r="C112" s="539"/>
      <c r="D112" s="539"/>
      <c r="E112" s="539"/>
      <c r="F112" s="539"/>
      <c r="G112" s="539"/>
      <c r="H112" s="539"/>
      <c r="I112" s="539"/>
      <c r="J112" s="539"/>
      <c r="K112" s="539"/>
      <c r="L112" s="539"/>
      <c r="M112" s="539"/>
      <c r="N112" s="539"/>
      <c r="O112" s="539"/>
      <c r="P112" s="539"/>
      <c r="Q112" s="539"/>
      <c r="R112" s="539"/>
      <c r="S112" s="539"/>
      <c r="T112" s="539"/>
      <c r="U112" s="539"/>
      <c r="V112" s="539"/>
      <c r="W112" s="539"/>
      <c r="X112" s="539"/>
      <c r="Y112" s="539"/>
      <c r="Z112" s="539"/>
      <c r="AA112" s="539"/>
      <c r="AB112" s="539"/>
      <c r="AC112" s="539"/>
      <c r="AD112" s="539"/>
      <c r="AE112" s="543"/>
      <c r="AF112" s="543"/>
      <c r="AG112" s="543"/>
      <c r="AH112" s="543"/>
      <c r="AI112" s="543"/>
      <c r="AJ112" s="543"/>
      <c r="AK112" s="540"/>
      <c r="AL112" s="540"/>
      <c r="AM112" s="540"/>
      <c r="AN112" s="535"/>
      <c r="AO112" s="536" t="str">
        <f>Application!B727</f>
        <v>1 Bedroom</v>
      </c>
      <c r="AQ112" s="536">
        <f>Application!O727</f>
        <v>886</v>
      </c>
    </row>
    <row r="113" spans="1:52" s="536" customFormat="1" ht="12.75" customHeight="1">
      <c r="A113" s="540"/>
      <c r="B113" s="539"/>
      <c r="C113" s="539"/>
      <c r="D113" s="539"/>
      <c r="E113" s="575"/>
      <c r="F113" s="575"/>
      <c r="G113" s="575"/>
      <c r="H113" s="575"/>
      <c r="I113" s="575"/>
      <c r="J113" s="575"/>
      <c r="K113" s="575"/>
      <c r="L113" s="575"/>
      <c r="M113" s="575"/>
      <c r="N113" s="575"/>
      <c r="O113" s="575"/>
      <c r="P113" s="575"/>
      <c r="Q113" s="575"/>
      <c r="R113" s="575"/>
      <c r="S113" s="575"/>
      <c r="T113" s="575"/>
      <c r="U113" s="575"/>
      <c r="V113" s="575"/>
      <c r="W113" s="575"/>
      <c r="X113" s="575"/>
      <c r="Y113" s="575"/>
      <c r="Z113" s="575"/>
      <c r="AA113" s="575"/>
      <c r="AB113" s="575"/>
      <c r="AC113" s="575"/>
      <c r="AD113" s="575"/>
      <c r="AE113" s="575"/>
      <c r="AF113" s="575"/>
      <c r="AG113" s="575"/>
      <c r="AH113" s="575"/>
      <c r="AI113" s="575"/>
      <c r="AJ113" s="575"/>
      <c r="AK113" s="540"/>
      <c r="AL113" s="540"/>
      <c r="AM113" s="540"/>
      <c r="AN113" s="535"/>
      <c r="AO113" s="536" t="str">
        <f>Application!B728</f>
        <v>1 Bedroom</v>
      </c>
      <c r="AQ113" s="536">
        <f>Application!O728</f>
        <v>1186</v>
      </c>
    </row>
    <row r="114" spans="1:52" s="536" customFormat="1" ht="12.75" customHeight="1">
      <c r="A114" s="540"/>
      <c r="B114" s="2589" t="s">
        <v>545</v>
      </c>
      <c r="C114" s="2589"/>
      <c r="D114" s="546" t="s">
        <v>1309</v>
      </c>
      <c r="E114" s="2590" t="s">
        <v>2562</v>
      </c>
      <c r="F114" s="2591"/>
      <c r="G114" s="2591"/>
      <c r="H114" s="2591"/>
      <c r="I114" s="2591"/>
      <c r="J114" s="2591"/>
      <c r="K114" s="2591"/>
      <c r="L114" s="2591"/>
      <c r="M114" s="2591"/>
      <c r="N114" s="2591"/>
      <c r="O114" s="2591"/>
      <c r="P114" s="2591"/>
      <c r="Q114" s="2591"/>
      <c r="R114" s="2591"/>
      <c r="S114" s="2591"/>
      <c r="T114" s="2591"/>
      <c r="U114" s="2591"/>
      <c r="V114" s="2591"/>
      <c r="W114" s="2591"/>
      <c r="X114" s="2591"/>
      <c r="Y114" s="2591"/>
      <c r="Z114" s="2591"/>
      <c r="AA114" s="2591"/>
      <c r="AB114" s="2591"/>
      <c r="AC114" s="2591"/>
      <c r="AD114" s="2591"/>
      <c r="AE114" s="2591"/>
      <c r="AF114" s="2591"/>
      <c r="AG114" s="2591"/>
      <c r="AH114" s="2591"/>
      <c r="AI114" s="2591"/>
      <c r="AJ114" s="2592"/>
      <c r="AK114" s="540"/>
      <c r="AL114" s="540"/>
      <c r="AM114" s="540"/>
      <c r="AN114" s="535"/>
      <c r="AO114" s="536" t="str">
        <f>Application!B729</f>
        <v>1 Bedroom</v>
      </c>
      <c r="AQ114" s="536">
        <f>Application!O729</f>
        <v>1485</v>
      </c>
      <c r="AU114" s="536" t="s">
        <v>1816</v>
      </c>
      <c r="AV114" s="593" t="s">
        <v>1817</v>
      </c>
      <c r="AW114" s="536" t="s">
        <v>1818</v>
      </c>
    </row>
    <row r="115" spans="1:52" s="536" customFormat="1" ht="12.75" customHeight="1">
      <c r="A115" s="540"/>
      <c r="B115" s="539"/>
      <c r="C115" s="539"/>
      <c r="D115" s="539"/>
      <c r="E115" s="2593"/>
      <c r="F115" s="2594"/>
      <c r="G115" s="2594"/>
      <c r="H115" s="2594"/>
      <c r="I115" s="2594"/>
      <c r="J115" s="2594"/>
      <c r="K115" s="2594"/>
      <c r="L115" s="2594"/>
      <c r="M115" s="2594"/>
      <c r="N115" s="2594"/>
      <c r="O115" s="2594"/>
      <c r="P115" s="2594"/>
      <c r="Q115" s="2594"/>
      <c r="R115" s="2594"/>
      <c r="S115" s="2594"/>
      <c r="T115" s="2594"/>
      <c r="U115" s="2594"/>
      <c r="V115" s="2594"/>
      <c r="W115" s="2594"/>
      <c r="X115" s="2594"/>
      <c r="Y115" s="2594"/>
      <c r="Z115" s="2594"/>
      <c r="AA115" s="2594"/>
      <c r="AB115" s="2594"/>
      <c r="AC115" s="2594"/>
      <c r="AD115" s="2594"/>
      <c r="AE115" s="2594"/>
      <c r="AF115" s="2594"/>
      <c r="AG115" s="2594"/>
      <c r="AH115" s="2594"/>
      <c r="AI115" s="2594"/>
      <c r="AJ115" s="2595"/>
      <c r="AK115" s="540"/>
      <c r="AL115" s="540"/>
      <c r="AM115" s="540"/>
      <c r="AN115" s="535"/>
      <c r="AO115" s="536" t="str">
        <f>Application!B730</f>
        <v>1 Bedroom</v>
      </c>
      <c r="AQ115" s="536">
        <f>Application!O730</f>
        <v>1785</v>
      </c>
      <c r="AU115" s="852" t="str">
        <f>E123</f>
        <v>Studio/SRO</v>
      </c>
      <c r="AV115" s="536">
        <f t="array" ref="AV115">SUM(IF(Application!B726:F760="SRO/Studio",Application!G726:J760))</f>
        <v>1</v>
      </c>
      <c r="AW115" s="1006">
        <f>AV115/AV121</f>
        <v>2.0833333333333332E-2</v>
      </c>
    </row>
    <row r="116" spans="1:52" s="536" customFormat="1" ht="12.75" customHeight="1">
      <c r="A116" s="540"/>
      <c r="B116" s="539"/>
      <c r="C116" s="539"/>
      <c r="D116" s="539"/>
      <c r="E116" s="2593"/>
      <c r="F116" s="2594"/>
      <c r="G116" s="2594"/>
      <c r="H116" s="2594"/>
      <c r="I116" s="2594"/>
      <c r="J116" s="2594"/>
      <c r="K116" s="2594"/>
      <c r="L116" s="2594"/>
      <c r="M116" s="2594"/>
      <c r="N116" s="2594"/>
      <c r="O116" s="2594"/>
      <c r="P116" s="2594"/>
      <c r="Q116" s="2594"/>
      <c r="R116" s="2594"/>
      <c r="S116" s="2594"/>
      <c r="T116" s="2594"/>
      <c r="U116" s="2594"/>
      <c r="V116" s="2594"/>
      <c r="W116" s="2594"/>
      <c r="X116" s="2594"/>
      <c r="Y116" s="2594"/>
      <c r="Z116" s="2594"/>
      <c r="AA116" s="2594"/>
      <c r="AB116" s="2594"/>
      <c r="AC116" s="2594"/>
      <c r="AD116" s="2594"/>
      <c r="AE116" s="2594"/>
      <c r="AF116" s="2594"/>
      <c r="AG116" s="2594"/>
      <c r="AH116" s="2594"/>
      <c r="AI116" s="2594"/>
      <c r="AJ116" s="2595"/>
      <c r="AK116" s="540"/>
      <c r="AL116" s="540"/>
      <c r="AM116" s="540"/>
      <c r="AN116" s="535"/>
      <c r="AO116" s="536" t="str">
        <f>Application!B731</f>
        <v>1 Bedroom</v>
      </c>
      <c r="AQ116" s="536">
        <f>Application!O731</f>
        <v>2107</v>
      </c>
      <c r="AU116" s="852" t="str">
        <f>J123</f>
        <v>1-bedroom</v>
      </c>
      <c r="AV116" s="536">
        <f t="array" ref="AV116">SUM(IF(Application!B726:F760="1 Bedroom",Application!G726:J760))</f>
        <v>40</v>
      </c>
      <c r="AW116" s="1006">
        <f>AV116/AV121</f>
        <v>0.83333333333333337</v>
      </c>
    </row>
    <row r="117" spans="1:52" s="536" customFormat="1" ht="12.75" customHeight="1">
      <c r="A117" s="540"/>
      <c r="B117" s="539"/>
      <c r="C117" s="539"/>
      <c r="D117" s="539"/>
      <c r="E117" s="2593"/>
      <c r="F117" s="2594"/>
      <c r="G117" s="2594"/>
      <c r="H117" s="2594"/>
      <c r="I117" s="2594"/>
      <c r="J117" s="2594"/>
      <c r="K117" s="2594"/>
      <c r="L117" s="2594"/>
      <c r="M117" s="2594"/>
      <c r="N117" s="2594"/>
      <c r="O117" s="2594"/>
      <c r="P117" s="2594"/>
      <c r="Q117" s="2594"/>
      <c r="R117" s="2594"/>
      <c r="S117" s="2594"/>
      <c r="T117" s="2594"/>
      <c r="U117" s="2594"/>
      <c r="V117" s="2594"/>
      <c r="W117" s="2594"/>
      <c r="X117" s="2594"/>
      <c r="Y117" s="2594"/>
      <c r="Z117" s="2594"/>
      <c r="AA117" s="2594"/>
      <c r="AB117" s="2594"/>
      <c r="AC117" s="2594"/>
      <c r="AD117" s="2594"/>
      <c r="AE117" s="2594"/>
      <c r="AF117" s="2594"/>
      <c r="AG117" s="2594"/>
      <c r="AH117" s="2594"/>
      <c r="AI117" s="2594"/>
      <c r="AJ117" s="2595"/>
      <c r="AK117" s="540"/>
      <c r="AL117" s="540"/>
      <c r="AM117" s="540"/>
      <c r="AN117" s="535"/>
      <c r="AO117" s="536" t="str">
        <f>Application!B732</f>
        <v>2 Bedrooms</v>
      </c>
      <c r="AQ117" s="536">
        <f>Application!O732</f>
        <v>1066</v>
      </c>
      <c r="AU117" s="852" t="str">
        <f>O123</f>
        <v>2-bedroom</v>
      </c>
      <c r="AV117" s="536">
        <f t="array" ref="AV117">SUM(IF(Application!B726:F760="2 Bedrooms",Application!G726:J760))</f>
        <v>7</v>
      </c>
      <c r="AW117" s="1006">
        <f>AV117/AV121</f>
        <v>0.14583333333333334</v>
      </c>
    </row>
    <row r="118" spans="1:52" s="536" customFormat="1" ht="12.75" customHeight="1">
      <c r="A118" s="540"/>
      <c r="B118" s="539"/>
      <c r="C118" s="539"/>
      <c r="D118" s="539"/>
      <c r="E118" s="2593"/>
      <c r="F118" s="2594"/>
      <c r="G118" s="2594"/>
      <c r="H118" s="2594"/>
      <c r="I118" s="2594"/>
      <c r="J118" s="2594"/>
      <c r="K118" s="2594"/>
      <c r="L118" s="2594"/>
      <c r="M118" s="2594"/>
      <c r="N118" s="2594"/>
      <c r="O118" s="2594"/>
      <c r="P118" s="2594"/>
      <c r="Q118" s="2594"/>
      <c r="R118" s="2594"/>
      <c r="S118" s="2594"/>
      <c r="T118" s="2594"/>
      <c r="U118" s="2594"/>
      <c r="V118" s="2594"/>
      <c r="W118" s="2594"/>
      <c r="X118" s="2594"/>
      <c r="Y118" s="2594"/>
      <c r="Z118" s="2594"/>
      <c r="AA118" s="2594"/>
      <c r="AB118" s="2594"/>
      <c r="AC118" s="2594"/>
      <c r="AD118" s="2594"/>
      <c r="AE118" s="2594"/>
      <c r="AF118" s="2594"/>
      <c r="AG118" s="2594"/>
      <c r="AH118" s="2594"/>
      <c r="AI118" s="2594"/>
      <c r="AJ118" s="2595"/>
      <c r="AK118" s="540"/>
      <c r="AL118" s="540"/>
      <c r="AM118" s="540"/>
      <c r="AN118" s="535"/>
      <c r="AO118" s="536" t="str">
        <f>Application!B733</f>
        <v>2 Bedrooms</v>
      </c>
      <c r="AQ118" s="536">
        <f>Application!O733</f>
        <v>1785</v>
      </c>
      <c r="AU118" s="852" t="str">
        <f>T123</f>
        <v>3-bedroom</v>
      </c>
      <c r="AV118" s="536">
        <f t="array" ref="AV118">SUM(IF(Application!B726:F760="3 Bedrooms",Application!G726:J760))</f>
        <v>0</v>
      </c>
      <c r="AW118" s="1006">
        <f>AV118/AV121</f>
        <v>0</v>
      </c>
    </row>
    <row r="119" spans="1:52" s="536" customFormat="1" ht="12.75" customHeight="1">
      <c r="A119" s="540"/>
      <c r="B119" s="539"/>
      <c r="C119" s="539"/>
      <c r="D119" s="539"/>
      <c r="E119" s="2593"/>
      <c r="F119" s="2594"/>
      <c r="G119" s="2594"/>
      <c r="H119" s="2594"/>
      <c r="I119" s="2594"/>
      <c r="J119" s="2594"/>
      <c r="K119" s="2594"/>
      <c r="L119" s="2594"/>
      <c r="M119" s="2594"/>
      <c r="N119" s="2594"/>
      <c r="O119" s="2594"/>
      <c r="P119" s="2594"/>
      <c r="Q119" s="2594"/>
      <c r="R119" s="2594"/>
      <c r="S119" s="2594"/>
      <c r="T119" s="2594"/>
      <c r="U119" s="2594"/>
      <c r="V119" s="2594"/>
      <c r="W119" s="2594"/>
      <c r="X119" s="2594"/>
      <c r="Y119" s="2594"/>
      <c r="Z119" s="2594"/>
      <c r="AA119" s="2594"/>
      <c r="AB119" s="2594"/>
      <c r="AC119" s="2594"/>
      <c r="AD119" s="2594"/>
      <c r="AE119" s="2594"/>
      <c r="AF119" s="2594"/>
      <c r="AG119" s="2594"/>
      <c r="AH119" s="2594"/>
      <c r="AI119" s="2594"/>
      <c r="AJ119" s="2595"/>
      <c r="AK119" s="540"/>
      <c r="AL119" s="540"/>
      <c r="AM119" s="540"/>
      <c r="AN119" s="535"/>
      <c r="AO119" s="536" t="str">
        <f>Application!B734</f>
        <v>2 Bedrooms</v>
      </c>
      <c r="AQ119" s="536">
        <f>Application!O734</f>
        <v>2145</v>
      </c>
      <c r="AU119" s="852" t="str">
        <f>Y123</f>
        <v>4-bedroom</v>
      </c>
      <c r="AV119" s="536">
        <f t="array" ref="AV119">SUM(IF(Application!B726:F760="4 Bedrooms",Application!G726:J760))</f>
        <v>0</v>
      </c>
      <c r="AW119" s="1006">
        <f>AV119/AV121</f>
        <v>0</v>
      </c>
    </row>
    <row r="120" spans="1:52" s="536" customFormat="1" ht="12.75" customHeight="1">
      <c r="A120" s="540"/>
      <c r="B120" s="539"/>
      <c r="C120" s="539"/>
      <c r="D120" s="539"/>
      <c r="E120" s="2593"/>
      <c r="F120" s="2594"/>
      <c r="G120" s="2594"/>
      <c r="H120" s="2594"/>
      <c r="I120" s="2594"/>
      <c r="J120" s="2594"/>
      <c r="K120" s="2594"/>
      <c r="L120" s="2594"/>
      <c r="M120" s="2594"/>
      <c r="N120" s="2594"/>
      <c r="O120" s="2594"/>
      <c r="P120" s="2594"/>
      <c r="Q120" s="2594"/>
      <c r="R120" s="2594"/>
      <c r="S120" s="2594"/>
      <c r="T120" s="2594"/>
      <c r="U120" s="2594"/>
      <c r="V120" s="2594"/>
      <c r="W120" s="2594"/>
      <c r="X120" s="2594"/>
      <c r="Y120" s="2594"/>
      <c r="Z120" s="2594"/>
      <c r="AA120" s="2594"/>
      <c r="AB120" s="2594"/>
      <c r="AC120" s="2594"/>
      <c r="AD120" s="2594"/>
      <c r="AE120" s="2594"/>
      <c r="AF120" s="2594"/>
      <c r="AG120" s="2594"/>
      <c r="AH120" s="2594"/>
      <c r="AI120" s="2594"/>
      <c r="AJ120" s="2595"/>
      <c r="AK120" s="540"/>
      <c r="AL120" s="540"/>
      <c r="AM120" s="540"/>
      <c r="AN120" s="535"/>
      <c r="AO120" s="536">
        <f>Application!B735</f>
        <v>0</v>
      </c>
      <c r="AQ120" s="536">
        <f>Application!O735</f>
        <v>0</v>
      </c>
      <c r="AU120" s="852" t="str">
        <f>AD123</f>
        <v>5-bedroom</v>
      </c>
      <c r="AV120" s="536">
        <f t="array" ref="AV120">SUM(IF(Application!B726:F760="5 Bedrooms",Application!G726:J760))</f>
        <v>0</v>
      </c>
      <c r="AW120" s="1006">
        <f>AV120/AV121</f>
        <v>0</v>
      </c>
    </row>
    <row r="121" spans="1:52" s="536" customFormat="1" ht="12.75" customHeight="1">
      <c r="A121" s="540"/>
      <c r="B121" s="539"/>
      <c r="C121" s="539"/>
      <c r="D121" s="539"/>
      <c r="E121" s="2593"/>
      <c r="F121" s="2594"/>
      <c r="G121" s="2594"/>
      <c r="H121" s="2594"/>
      <c r="I121" s="2594"/>
      <c r="J121" s="2594"/>
      <c r="K121" s="2594"/>
      <c r="L121" s="2594"/>
      <c r="M121" s="2594"/>
      <c r="N121" s="2594"/>
      <c r="O121" s="2594"/>
      <c r="P121" s="2594"/>
      <c r="Q121" s="2594"/>
      <c r="R121" s="2594"/>
      <c r="S121" s="2594"/>
      <c r="T121" s="2594"/>
      <c r="U121" s="2594"/>
      <c r="V121" s="2594"/>
      <c r="W121" s="2594"/>
      <c r="X121" s="2594"/>
      <c r="Y121" s="2594"/>
      <c r="Z121" s="2594"/>
      <c r="AA121" s="2594"/>
      <c r="AB121" s="2594"/>
      <c r="AC121" s="2594"/>
      <c r="AD121" s="2594"/>
      <c r="AE121" s="2594"/>
      <c r="AF121" s="2594"/>
      <c r="AG121" s="2594"/>
      <c r="AH121" s="2594"/>
      <c r="AI121" s="2594"/>
      <c r="AJ121" s="2595"/>
      <c r="AK121" s="540"/>
      <c r="AL121" s="540"/>
      <c r="AM121" s="540"/>
      <c r="AN121" s="535"/>
      <c r="AO121" s="536">
        <f>Application!B736</f>
        <v>0</v>
      </c>
      <c r="AQ121" s="536">
        <f>Application!O736</f>
        <v>0</v>
      </c>
      <c r="AV121" s="536">
        <f>SUM(AV115:AV120)</f>
        <v>48</v>
      </c>
      <c r="AW121" s="1006">
        <f>SUM(AW115:AW120)</f>
        <v>1</v>
      </c>
    </row>
    <row r="122" spans="1:52" s="536" customFormat="1" ht="12.75" customHeight="1">
      <c r="A122" s="540"/>
      <c r="B122" s="539"/>
      <c r="C122" s="539"/>
      <c r="D122" s="539"/>
      <c r="E122" s="584"/>
      <c r="F122" s="551"/>
      <c r="G122" s="551"/>
      <c r="H122" s="551"/>
      <c r="I122" s="551"/>
      <c r="J122" s="551"/>
      <c r="K122" s="551"/>
      <c r="L122" s="551"/>
      <c r="M122" s="551"/>
      <c r="N122" s="551"/>
      <c r="O122" s="551"/>
      <c r="P122" s="551"/>
      <c r="Q122" s="551"/>
      <c r="R122" s="551"/>
      <c r="S122" s="551"/>
      <c r="T122" s="551"/>
      <c r="U122" s="551"/>
      <c r="V122" s="551"/>
      <c r="W122" s="551"/>
      <c r="X122" s="551"/>
      <c r="Y122" s="551"/>
      <c r="Z122" s="551"/>
      <c r="AA122" s="551"/>
      <c r="AB122" s="551"/>
      <c r="AC122" s="551"/>
      <c r="AD122" s="551"/>
      <c r="AE122" s="551"/>
      <c r="AF122" s="551"/>
      <c r="AG122" s="551"/>
      <c r="AH122" s="551"/>
      <c r="AI122" s="551"/>
      <c r="AJ122" s="552"/>
      <c r="AK122" s="540"/>
      <c r="AL122" s="540"/>
      <c r="AM122" s="540"/>
      <c r="AN122" s="535"/>
      <c r="AO122" s="536">
        <f>Application!B737</f>
        <v>0</v>
      </c>
      <c r="AQ122" s="536">
        <f>Application!O737</f>
        <v>0</v>
      </c>
    </row>
    <row r="123" spans="1:52" s="536" customFormat="1" ht="12.75" customHeight="1">
      <c r="A123" s="540"/>
      <c r="B123" s="539"/>
      <c r="C123" s="540"/>
      <c r="D123" s="540"/>
      <c r="E123" s="2602" t="s">
        <v>1577</v>
      </c>
      <c r="F123" s="2603"/>
      <c r="G123" s="2603"/>
      <c r="H123" s="2603"/>
      <c r="I123" s="575"/>
      <c r="J123" s="2603" t="s">
        <v>1620</v>
      </c>
      <c r="K123" s="2603"/>
      <c r="L123" s="2603"/>
      <c r="M123" s="2603"/>
      <c r="N123" s="575"/>
      <c r="O123" s="2603" t="s">
        <v>1621</v>
      </c>
      <c r="P123" s="2603"/>
      <c r="Q123" s="2603"/>
      <c r="R123" s="2603"/>
      <c r="S123" s="575"/>
      <c r="T123" s="2603" t="s">
        <v>1328</v>
      </c>
      <c r="U123" s="2603"/>
      <c r="V123" s="2603"/>
      <c r="W123" s="2603"/>
      <c r="X123" s="575"/>
      <c r="Y123" s="2603" t="s">
        <v>1622</v>
      </c>
      <c r="Z123" s="2603"/>
      <c r="AA123" s="2603"/>
      <c r="AB123" s="2603"/>
      <c r="AC123" s="575"/>
      <c r="AD123" s="2603" t="s">
        <v>1623</v>
      </c>
      <c r="AE123" s="2603"/>
      <c r="AF123" s="2603"/>
      <c r="AG123" s="2603"/>
      <c r="AH123" s="575"/>
      <c r="AI123" s="575"/>
      <c r="AJ123" s="577"/>
      <c r="AK123" s="540"/>
      <c r="AL123" s="540"/>
      <c r="AM123" s="540"/>
      <c r="AN123" s="535"/>
      <c r="AO123" s="536">
        <f>Application!B738</f>
        <v>0</v>
      </c>
      <c r="AQ123" s="536">
        <f>Application!O738</f>
        <v>0</v>
      </c>
    </row>
    <row r="124" spans="1:52" s="536" customFormat="1" ht="12.75" customHeight="1">
      <c r="A124" s="540"/>
      <c r="B124" s="539"/>
      <c r="C124" s="540"/>
      <c r="D124" s="540"/>
      <c r="E124" s="861"/>
      <c r="F124" s="859"/>
      <c r="G124" s="859"/>
      <c r="H124" s="859"/>
      <c r="I124" s="575"/>
      <c r="J124" s="859"/>
      <c r="K124" s="859"/>
      <c r="L124" s="859"/>
      <c r="M124" s="859"/>
      <c r="N124" s="575"/>
      <c r="O124" s="859"/>
      <c r="P124" s="859"/>
      <c r="Q124" s="859"/>
      <c r="R124" s="859"/>
      <c r="S124" s="575"/>
      <c r="T124" s="859"/>
      <c r="U124" s="859"/>
      <c r="V124" s="859"/>
      <c r="W124" s="859"/>
      <c r="X124" s="575"/>
      <c r="Y124" s="859"/>
      <c r="Z124" s="859"/>
      <c r="AA124" s="859"/>
      <c r="AB124" s="859"/>
      <c r="AC124" s="575"/>
      <c r="AD124" s="859"/>
      <c r="AE124" s="859"/>
      <c r="AF124" s="859"/>
      <c r="AG124" s="859"/>
      <c r="AH124" s="575"/>
      <c r="AI124" s="575"/>
      <c r="AJ124" s="577"/>
      <c r="AK124" s="540"/>
      <c r="AL124" s="540"/>
      <c r="AM124" s="540"/>
      <c r="AN124" s="535"/>
      <c r="AO124" s="536">
        <f>Application!B739</f>
        <v>0</v>
      </c>
      <c r="AQ124" s="536">
        <f>Application!O739</f>
        <v>0</v>
      </c>
    </row>
    <row r="125" spans="1:52" s="536" customFormat="1" ht="12.75" customHeight="1">
      <c r="A125" s="540"/>
      <c r="B125" s="539"/>
      <c r="C125" s="540"/>
      <c r="D125" s="540"/>
      <c r="E125" s="862" t="s">
        <v>1624</v>
      </c>
      <c r="F125" s="859"/>
      <c r="G125" s="859"/>
      <c r="H125" s="859"/>
      <c r="I125" s="575"/>
      <c r="J125" s="859"/>
      <c r="K125" s="859"/>
      <c r="L125" s="859"/>
      <c r="M125" s="859"/>
      <c r="N125" s="575"/>
      <c r="O125" s="859"/>
      <c r="P125" s="859"/>
      <c r="Q125" s="859"/>
      <c r="R125" s="859"/>
      <c r="S125" s="575"/>
      <c r="T125" s="859"/>
      <c r="U125" s="859"/>
      <c r="V125" s="859"/>
      <c r="W125" s="859"/>
      <c r="X125" s="575"/>
      <c r="Y125" s="859"/>
      <c r="Z125" s="859"/>
      <c r="AA125" s="859"/>
      <c r="AB125" s="859"/>
      <c r="AC125" s="575"/>
      <c r="AD125" s="859"/>
      <c r="AE125" s="859"/>
      <c r="AF125" s="859"/>
      <c r="AG125" s="859"/>
      <c r="AH125" s="575"/>
      <c r="AI125" s="575"/>
      <c r="AJ125" s="577"/>
      <c r="AK125" s="540"/>
      <c r="AL125" s="540"/>
      <c r="AM125" s="540"/>
      <c r="AN125" s="535"/>
      <c r="AO125" s="536">
        <f>Application!B740</f>
        <v>0</v>
      </c>
      <c r="AQ125" s="536">
        <f>Application!O740</f>
        <v>0</v>
      </c>
    </row>
    <row r="126" spans="1:52" s="536" customFormat="1" ht="12.75" customHeight="1">
      <c r="A126" s="540"/>
      <c r="B126" s="539"/>
      <c r="C126" s="540"/>
      <c r="D126" s="540"/>
      <c r="E126" s="2604">
        <v>2014</v>
      </c>
      <c r="F126" s="2605"/>
      <c r="G126" s="2605"/>
      <c r="H126" s="2605"/>
      <c r="I126" s="860"/>
      <c r="J126" s="2605">
        <v>2350</v>
      </c>
      <c r="K126" s="2605"/>
      <c r="L126" s="2605"/>
      <c r="M126" s="2605"/>
      <c r="N126" s="860"/>
      <c r="O126" s="2605">
        <v>2627</v>
      </c>
      <c r="P126" s="2605"/>
      <c r="Q126" s="2605"/>
      <c r="R126" s="2605"/>
      <c r="S126" s="860"/>
      <c r="T126" s="2605"/>
      <c r="U126" s="2605"/>
      <c r="V126" s="2605"/>
      <c r="W126" s="2605"/>
      <c r="X126" s="860"/>
      <c r="Y126" s="2605"/>
      <c r="Z126" s="2605"/>
      <c r="AA126" s="2605"/>
      <c r="AB126" s="2605"/>
      <c r="AC126" s="860"/>
      <c r="AD126" s="2605"/>
      <c r="AE126" s="2605"/>
      <c r="AF126" s="2605"/>
      <c r="AG126" s="2605"/>
      <c r="AH126" s="575"/>
      <c r="AI126" s="575"/>
      <c r="AJ126" s="577"/>
      <c r="AK126" s="540"/>
      <c r="AL126" s="540"/>
      <c r="AM126" s="540"/>
      <c r="AN126" s="535"/>
      <c r="AO126" s="536">
        <f>Application!B741</f>
        <v>0</v>
      </c>
      <c r="AQ126" s="536">
        <f>Application!O741</f>
        <v>0</v>
      </c>
    </row>
    <row r="127" spans="1:52" s="536" customFormat="1" ht="12.75" customHeight="1">
      <c r="A127" s="540"/>
      <c r="B127" s="539"/>
      <c r="C127" s="540"/>
      <c r="D127" s="540"/>
      <c r="E127" s="861"/>
      <c r="F127" s="859"/>
      <c r="G127" s="859"/>
      <c r="H127" s="859"/>
      <c r="I127" s="575"/>
      <c r="J127" s="859"/>
      <c r="K127" s="859"/>
      <c r="L127" s="859"/>
      <c r="M127" s="859"/>
      <c r="N127" s="575"/>
      <c r="O127" s="859"/>
      <c r="P127" s="859"/>
      <c r="Q127" s="859"/>
      <c r="R127" s="859"/>
      <c r="S127" s="575"/>
      <c r="T127" s="859"/>
      <c r="U127" s="859"/>
      <c r="V127" s="859"/>
      <c r="W127" s="859"/>
      <c r="X127" s="575"/>
      <c r="Y127" s="859"/>
      <c r="Z127" s="859"/>
      <c r="AA127" s="859"/>
      <c r="AB127" s="859"/>
      <c r="AC127" s="575"/>
      <c r="AD127" s="859"/>
      <c r="AE127" s="859"/>
      <c r="AF127" s="859"/>
      <c r="AG127" s="859"/>
      <c r="AH127" s="575"/>
      <c r="AI127" s="575"/>
      <c r="AJ127" s="577"/>
      <c r="AK127" s="540"/>
      <c r="AL127" s="540"/>
      <c r="AM127" s="540"/>
      <c r="AN127" s="535"/>
      <c r="AO127" s="536">
        <f>Application!B742</f>
        <v>0</v>
      </c>
      <c r="AQ127" s="536">
        <f>Application!O742</f>
        <v>0</v>
      </c>
      <c r="AU127" s="1004"/>
      <c r="AV127" s="1004"/>
      <c r="AW127" s="1004"/>
      <c r="AX127" s="1004"/>
      <c r="AY127" s="1004"/>
      <c r="AZ127" s="1004"/>
    </row>
    <row r="128" spans="1:52" s="536" customFormat="1" ht="12.75" customHeight="1">
      <c r="A128" s="540"/>
      <c r="B128" s="539"/>
      <c r="C128" s="540"/>
      <c r="D128" s="540"/>
      <c r="E128" s="862" t="s">
        <v>1820</v>
      </c>
      <c r="F128" s="859"/>
      <c r="G128" s="859"/>
      <c r="H128" s="859"/>
      <c r="I128" s="575"/>
      <c r="J128" s="859"/>
      <c r="K128" s="859"/>
      <c r="L128" s="859"/>
      <c r="M128" s="859"/>
      <c r="N128" s="575"/>
      <c r="O128" s="859"/>
      <c r="P128" s="859"/>
      <c r="Q128" s="859"/>
      <c r="R128" s="859"/>
      <c r="S128" s="575"/>
      <c r="T128" s="859"/>
      <c r="U128" s="859"/>
      <c r="V128" s="859"/>
      <c r="W128" s="859"/>
      <c r="X128" s="575"/>
      <c r="Y128" s="859"/>
      <c r="Z128" s="859"/>
      <c r="AA128" s="859"/>
      <c r="AB128" s="859"/>
      <c r="AC128" s="575"/>
      <c r="AD128" s="859"/>
      <c r="AE128" s="859"/>
      <c r="AF128" s="859"/>
      <c r="AG128" s="859"/>
      <c r="AH128" s="575"/>
      <c r="AI128" s="575"/>
      <c r="AJ128" s="577"/>
      <c r="AK128" s="540"/>
      <c r="AL128" s="540"/>
      <c r="AM128" s="540"/>
      <c r="AN128" s="535"/>
      <c r="AO128" s="536">
        <f>Application!B743</f>
        <v>0</v>
      </c>
      <c r="AQ128" s="536">
        <f>Application!O743</f>
        <v>0</v>
      </c>
      <c r="AU128" s="1004"/>
      <c r="AV128" s="1004"/>
      <c r="AW128" s="1004"/>
      <c r="AX128" s="1004"/>
      <c r="AY128" s="1004"/>
      <c r="AZ128" s="1004"/>
    </row>
    <row r="129" spans="1:52" s="536" customFormat="1" ht="12.75" customHeight="1">
      <c r="A129" s="540"/>
      <c r="B129" s="539"/>
      <c r="C129" s="540"/>
      <c r="D129" s="540"/>
      <c r="E129" s="2638">
        <f>Application!DX678</f>
        <v>826</v>
      </c>
      <c r="F129" s="2612"/>
      <c r="G129" s="2612"/>
      <c r="H129" s="2612"/>
      <c r="I129" s="860"/>
      <c r="J129" s="2612">
        <f>Application!EC678</f>
        <v>1704.0250000000001</v>
      </c>
      <c r="K129" s="2612"/>
      <c r="L129" s="2612"/>
      <c r="M129" s="2612"/>
      <c r="N129" s="860"/>
      <c r="O129" s="2612">
        <f>Application!EH678</f>
        <v>1939.4285714285713</v>
      </c>
      <c r="P129" s="2612"/>
      <c r="Q129" s="2612"/>
      <c r="R129" s="2612"/>
      <c r="S129" s="864"/>
      <c r="T129" s="2612">
        <f>Application!EM678</f>
        <v>0</v>
      </c>
      <c r="U129" s="2612"/>
      <c r="V129" s="2612"/>
      <c r="W129" s="2612"/>
      <c r="X129" s="864"/>
      <c r="Y129" s="2612">
        <f>Application!ER678</f>
        <v>0</v>
      </c>
      <c r="Z129" s="2612"/>
      <c r="AA129" s="2612"/>
      <c r="AB129" s="2612"/>
      <c r="AC129" s="864"/>
      <c r="AD129" s="2612">
        <f>Application!EW678</f>
        <v>0</v>
      </c>
      <c r="AE129" s="2612"/>
      <c r="AF129" s="2612"/>
      <c r="AG129" s="2612"/>
      <c r="AH129" s="575"/>
      <c r="AI129" s="575"/>
      <c r="AJ129" s="577"/>
      <c r="AK129" s="540"/>
      <c r="AL129" s="540"/>
      <c r="AM129" s="540"/>
      <c r="AN129" s="535"/>
      <c r="AO129" s="536">
        <f>Application!B744</f>
        <v>0</v>
      </c>
      <c r="AQ129" s="536">
        <f>Application!O744</f>
        <v>0</v>
      </c>
      <c r="AU129" s="1004"/>
      <c r="AV129" s="1004"/>
      <c r="AW129" s="1005"/>
      <c r="AX129" s="1005"/>
      <c r="AY129" s="1004"/>
      <c r="AZ129" s="1004"/>
    </row>
    <row r="130" spans="1:52" s="536" customFormat="1" ht="12.75" customHeight="1">
      <c r="A130" s="540"/>
      <c r="B130" s="539"/>
      <c r="C130" s="540"/>
      <c r="D130" s="540"/>
      <c r="E130" s="863"/>
      <c r="F130" s="859"/>
      <c r="G130" s="859"/>
      <c r="H130" s="859"/>
      <c r="I130" s="575"/>
      <c r="J130" s="578"/>
      <c r="K130" s="575"/>
      <c r="L130" s="575"/>
      <c r="M130" s="575"/>
      <c r="N130" s="575"/>
      <c r="O130" s="575"/>
      <c r="P130" s="575"/>
      <c r="Q130" s="575"/>
      <c r="R130" s="575"/>
      <c r="S130" s="575"/>
      <c r="T130" s="575"/>
      <c r="U130" s="575"/>
      <c r="V130" s="575"/>
      <c r="W130" s="575"/>
      <c r="X130" s="575"/>
      <c r="Y130" s="575"/>
      <c r="Z130" s="575"/>
      <c r="AA130" s="575"/>
      <c r="AB130" s="575"/>
      <c r="AC130" s="575"/>
      <c r="AD130" s="575"/>
      <c r="AE130" s="575"/>
      <c r="AF130" s="575"/>
      <c r="AG130" s="575"/>
      <c r="AH130" s="575"/>
      <c r="AI130" s="575"/>
      <c r="AJ130" s="577"/>
      <c r="AK130" s="540"/>
      <c r="AL130" s="540"/>
      <c r="AM130" s="540"/>
      <c r="AN130" s="535"/>
      <c r="AO130" s="536">
        <f>Application!B745</f>
        <v>0</v>
      </c>
      <c r="AQ130" s="536">
        <f>Application!O745</f>
        <v>0</v>
      </c>
      <c r="AU130" s="1004"/>
      <c r="AV130" s="1004"/>
      <c r="AW130" s="1005"/>
      <c r="AX130" s="1005"/>
      <c r="AY130" s="1004"/>
      <c r="AZ130" s="1004"/>
    </row>
    <row r="131" spans="1:52" s="536" customFormat="1" ht="12.75" customHeight="1">
      <c r="A131" s="540"/>
      <c r="B131" s="539"/>
      <c r="C131" s="540"/>
      <c r="D131" s="540"/>
      <c r="E131" s="862" t="s">
        <v>1821</v>
      </c>
      <c r="F131" s="859"/>
      <c r="G131" s="859"/>
      <c r="H131" s="859"/>
      <c r="I131" s="575"/>
      <c r="J131" s="578"/>
      <c r="K131" s="575"/>
      <c r="L131" s="575"/>
      <c r="M131" s="575"/>
      <c r="N131" s="575"/>
      <c r="O131" s="575"/>
      <c r="P131" s="575"/>
      <c r="Q131" s="575"/>
      <c r="R131" s="575"/>
      <c r="S131" s="575"/>
      <c r="T131" s="575"/>
      <c r="U131" s="575"/>
      <c r="V131" s="575"/>
      <c r="W131" s="575"/>
      <c r="X131" s="575"/>
      <c r="Y131" s="575"/>
      <c r="Z131" s="575"/>
      <c r="AA131" s="575"/>
      <c r="AB131" s="575"/>
      <c r="AC131" s="575"/>
      <c r="AD131" s="575"/>
      <c r="AE131" s="575"/>
      <c r="AF131" s="575"/>
      <c r="AG131" s="575"/>
      <c r="AH131" s="575"/>
      <c r="AI131" s="575"/>
      <c r="AJ131" s="577"/>
      <c r="AK131" s="540"/>
      <c r="AL131" s="540"/>
      <c r="AM131" s="540"/>
      <c r="AN131" s="535"/>
      <c r="AO131" s="536">
        <f>Application!B746</f>
        <v>0</v>
      </c>
      <c r="AQ131" s="536">
        <f>Application!O746</f>
        <v>0</v>
      </c>
      <c r="AU131" s="1004"/>
      <c r="AV131" s="1004"/>
      <c r="AW131" s="1005"/>
      <c r="AX131" s="1005"/>
      <c r="AY131" s="1004"/>
      <c r="AZ131" s="1004"/>
    </row>
    <row r="132" spans="1:52" s="536" customFormat="1" ht="12.75" customHeight="1">
      <c r="A132" s="540"/>
      <c r="B132" s="539"/>
      <c r="C132" s="540"/>
      <c r="D132" s="540"/>
      <c r="E132" s="2420">
        <f>(E126-E129)/E126</f>
        <v>0.58987090367428008</v>
      </c>
      <c r="F132" s="2421"/>
      <c r="G132" s="2421"/>
      <c r="H132" s="2422"/>
      <c r="I132" s="575"/>
      <c r="J132" s="2420">
        <f>(J126-J129)/J126</f>
        <v>0.27488297872340423</v>
      </c>
      <c r="K132" s="2421"/>
      <c r="L132" s="2421"/>
      <c r="M132" s="2422"/>
      <c r="N132" s="575"/>
      <c r="O132" s="2420">
        <f>(O126-O129)/O126</f>
        <v>0.26173255750720542</v>
      </c>
      <c r="P132" s="2421"/>
      <c r="Q132" s="2421"/>
      <c r="R132" s="2422"/>
      <c r="S132" s="575"/>
      <c r="T132" s="2420" t="e">
        <f>(T126-T129)/T126</f>
        <v>#DIV/0!</v>
      </c>
      <c r="U132" s="2421"/>
      <c r="V132" s="2421"/>
      <c r="W132" s="2422"/>
      <c r="X132" s="575"/>
      <c r="Y132" s="2420" t="e">
        <f>(Y126-Y129)/Y126</f>
        <v>#DIV/0!</v>
      </c>
      <c r="Z132" s="2421"/>
      <c r="AA132" s="2421"/>
      <c r="AB132" s="2422"/>
      <c r="AC132" s="575"/>
      <c r="AD132" s="2420" t="e">
        <f>(AD126-AD129)/AD126</f>
        <v>#DIV/0!</v>
      </c>
      <c r="AE132" s="2421"/>
      <c r="AF132" s="2421"/>
      <c r="AG132" s="2422"/>
      <c r="AH132" s="575"/>
      <c r="AI132" s="575"/>
      <c r="AJ132" s="577"/>
      <c r="AK132" s="540"/>
      <c r="AL132" s="540"/>
      <c r="AM132" s="540"/>
      <c r="AN132" s="535"/>
      <c r="AO132" s="536">
        <f>Application!B747</f>
        <v>0</v>
      </c>
      <c r="AQ132" s="536">
        <f>Application!O747</f>
        <v>0</v>
      </c>
      <c r="AU132" s="1004"/>
      <c r="AV132" s="1004"/>
      <c r="AW132" s="1005"/>
      <c r="AX132" s="1005"/>
      <c r="AY132" s="1004"/>
      <c r="AZ132" s="1004"/>
    </row>
    <row r="133" spans="1:52" s="536" customFormat="1" ht="12.75" customHeight="1">
      <c r="A133" s="540"/>
      <c r="B133" s="539"/>
      <c r="C133" s="540"/>
      <c r="D133" s="540"/>
      <c r="E133" s="999"/>
      <c r="F133" s="998"/>
      <c r="G133" s="998"/>
      <c r="H133" s="998"/>
      <c r="I133" s="575"/>
      <c r="J133" s="998"/>
      <c r="K133" s="998"/>
      <c r="L133" s="998"/>
      <c r="M133" s="998"/>
      <c r="N133" s="575"/>
      <c r="O133" s="998"/>
      <c r="P133" s="998"/>
      <c r="Q133" s="998"/>
      <c r="R133" s="998"/>
      <c r="S133" s="575"/>
      <c r="T133" s="998"/>
      <c r="U133" s="998"/>
      <c r="V133" s="998"/>
      <c r="W133" s="998"/>
      <c r="X133" s="575"/>
      <c r="Y133" s="998"/>
      <c r="Z133" s="998"/>
      <c r="AA133" s="998"/>
      <c r="AB133" s="998"/>
      <c r="AC133" s="575"/>
      <c r="AD133" s="998"/>
      <c r="AE133" s="998"/>
      <c r="AF133" s="998"/>
      <c r="AG133" s="998"/>
      <c r="AH133" s="575"/>
      <c r="AI133" s="575"/>
      <c r="AJ133" s="577"/>
      <c r="AK133" s="540"/>
      <c r="AL133" s="540"/>
      <c r="AM133" s="540"/>
      <c r="AN133" s="535"/>
      <c r="AO133" s="536">
        <f>Application!B748</f>
        <v>0</v>
      </c>
      <c r="AQ133" s="536">
        <f>Application!O748</f>
        <v>0</v>
      </c>
      <c r="AU133" s="1004"/>
      <c r="AV133" s="1004"/>
      <c r="AW133" s="1005"/>
      <c r="AX133" s="1005"/>
      <c r="AY133" s="1004"/>
      <c r="AZ133" s="1004"/>
    </row>
    <row r="134" spans="1:52" s="536" customFormat="1" ht="12.75" customHeight="1">
      <c r="A134" s="540"/>
      <c r="B134" s="539"/>
      <c r="C134" s="540"/>
      <c r="D134" s="540"/>
      <c r="E134" s="1000" t="s">
        <v>1822</v>
      </c>
      <c r="F134" s="998"/>
      <c r="G134" s="998"/>
      <c r="H134" s="998"/>
      <c r="I134" s="575"/>
      <c r="J134" s="998"/>
      <c r="K134" s="998"/>
      <c r="L134" s="998"/>
      <c r="M134" s="998"/>
      <c r="N134" s="575"/>
      <c r="O134" s="998"/>
      <c r="P134" s="998"/>
      <c r="Q134" s="998"/>
      <c r="R134" s="998"/>
      <c r="S134" s="575"/>
      <c r="T134" s="998"/>
      <c r="U134" s="998"/>
      <c r="V134" s="998"/>
      <c r="W134" s="998"/>
      <c r="X134" s="575"/>
      <c r="Y134" s="998"/>
      <c r="Z134" s="998"/>
      <c r="AA134" s="998"/>
      <c r="AB134" s="998"/>
      <c r="AC134" s="575"/>
      <c r="AD134" s="998"/>
      <c r="AE134" s="998"/>
      <c r="AF134" s="998"/>
      <c r="AG134" s="998"/>
      <c r="AH134" s="575"/>
      <c r="AI134" s="575"/>
      <c r="AJ134" s="577"/>
      <c r="AK134" s="540"/>
      <c r="AL134" s="540"/>
      <c r="AM134" s="540"/>
      <c r="AN134" s="535"/>
      <c r="AO134" s="536">
        <f>Application!B749</f>
        <v>0</v>
      </c>
      <c r="AQ134" s="536">
        <f>Application!O749</f>
        <v>0</v>
      </c>
      <c r="AU134" s="1005"/>
      <c r="AV134" s="1004"/>
      <c r="AW134" s="1005"/>
      <c r="AX134" s="1005"/>
      <c r="AY134" s="1004"/>
      <c r="AZ134" s="1004"/>
    </row>
    <row r="135" spans="1:52" s="536" customFormat="1" ht="12.75" customHeight="1">
      <c r="A135" s="540"/>
      <c r="B135" s="539"/>
      <c r="C135" s="540"/>
      <c r="D135" s="540"/>
      <c r="E135" s="2609">
        <f>IF(((E132-0.1)*AW115)&gt;0,((E132-0.1)*AW115),0)</f>
        <v>1.0205643826547501E-2</v>
      </c>
      <c r="F135" s="2610"/>
      <c r="G135" s="2610"/>
      <c r="H135" s="2611"/>
      <c r="I135" s="575"/>
      <c r="J135" s="2609">
        <f>IF(((J132-0.1)*AW116)&gt;0,((J132-0.1)*AW116),0)</f>
        <v>0.14573581560283685</v>
      </c>
      <c r="K135" s="2610"/>
      <c r="L135" s="2610"/>
      <c r="M135" s="2611"/>
      <c r="N135" s="575"/>
      <c r="O135" s="2609">
        <f>IF(((O132-0.1)*AW117)&gt;0,((O132-0.1)*AW117),0)</f>
        <v>2.3585997969800793E-2</v>
      </c>
      <c r="P135" s="2610"/>
      <c r="Q135" s="2610"/>
      <c r="R135" s="2611"/>
      <c r="S135" s="575"/>
      <c r="T135" s="2609" t="e">
        <f>IF(((T132-0.1)*AW118)&gt;0,((T132-0.1)*AW118),0)</f>
        <v>#DIV/0!</v>
      </c>
      <c r="U135" s="2610"/>
      <c r="V135" s="2610"/>
      <c r="W135" s="2611"/>
      <c r="X135" s="575"/>
      <c r="Y135" s="2609" t="e">
        <f>IF(((Y132-0.1)*AW119)&gt;0,((Y132-0.1)*AW119),0)</f>
        <v>#DIV/0!</v>
      </c>
      <c r="Z135" s="2610"/>
      <c r="AA135" s="2610"/>
      <c r="AB135" s="2611"/>
      <c r="AC135" s="575"/>
      <c r="AD135" s="2609" t="e">
        <f>IF(((AD132-0.1)*AW120)&gt;0,((AD132-0.1)*AW120),0)</f>
        <v>#DIV/0!</v>
      </c>
      <c r="AE135" s="2610"/>
      <c r="AF135" s="2610"/>
      <c r="AG135" s="2611"/>
      <c r="AH135" s="575"/>
      <c r="AI135" s="575"/>
      <c r="AJ135" s="577"/>
      <c r="AK135" s="540"/>
      <c r="AL135" s="540"/>
      <c r="AM135" s="540"/>
      <c r="AN135" s="535"/>
      <c r="AO135" s="536">
        <f>Application!B760</f>
        <v>0</v>
      </c>
      <c r="AQ135" s="536">
        <f>Application!O760</f>
        <v>0</v>
      </c>
      <c r="AU135" s="1004"/>
      <c r="AV135" s="1004"/>
      <c r="AW135" s="1004"/>
      <c r="AX135" s="1005"/>
      <c r="AY135" s="1004"/>
      <c r="AZ135" s="1004"/>
    </row>
    <row r="136" spans="1:52" s="536" customFormat="1" ht="12.75" customHeight="1">
      <c r="A136" s="540"/>
      <c r="B136" s="539"/>
      <c r="C136" s="540"/>
      <c r="D136" s="540"/>
      <c r="E136" s="863"/>
      <c r="F136" s="859"/>
      <c r="G136" s="859"/>
      <c r="H136" s="859"/>
      <c r="I136" s="575"/>
      <c r="J136" s="578"/>
      <c r="K136" s="575"/>
      <c r="L136" s="575"/>
      <c r="M136" s="575"/>
      <c r="N136" s="575"/>
      <c r="O136" s="575"/>
      <c r="P136" s="575"/>
      <c r="Q136" s="575"/>
      <c r="R136" s="575"/>
      <c r="S136" s="575"/>
      <c r="T136" s="575"/>
      <c r="U136" s="575"/>
      <c r="V136" s="575"/>
      <c r="W136" s="575"/>
      <c r="X136" s="575"/>
      <c r="Y136" s="575"/>
      <c r="Z136" s="575"/>
      <c r="AA136" s="575"/>
      <c r="AB136" s="575"/>
      <c r="AC136" s="575"/>
      <c r="AD136" s="575"/>
      <c r="AE136" s="575"/>
      <c r="AF136" s="575"/>
      <c r="AG136" s="575"/>
      <c r="AH136" s="575"/>
      <c r="AI136" s="575"/>
      <c r="AJ136" s="577"/>
      <c r="AK136" s="540"/>
      <c r="AL136" s="540"/>
      <c r="AM136" s="540"/>
      <c r="AN136" s="535"/>
      <c r="AU136" s="1004"/>
      <c r="AV136" s="1004"/>
      <c r="AW136" s="1004"/>
      <c r="AX136" s="1004"/>
      <c r="AY136" s="1004"/>
      <c r="AZ136" s="1004"/>
    </row>
    <row r="137" spans="1:52" s="536" customFormat="1" ht="12.75" customHeight="1">
      <c r="A137" s="540"/>
      <c r="B137" s="539"/>
      <c r="C137" s="540"/>
      <c r="D137" s="540"/>
      <c r="E137" s="2420">
        <f>ROUNDDOWN(SUMIF(E135:AG135,"&gt;0"),2)</f>
        <v>0.17</v>
      </c>
      <c r="F137" s="2421"/>
      <c r="G137" s="2421"/>
      <c r="H137" s="2422"/>
      <c r="I137" s="575"/>
      <c r="J137" s="578" t="s">
        <v>1823</v>
      </c>
      <c r="K137" s="575"/>
      <c r="L137" s="575"/>
      <c r="M137" s="575"/>
      <c r="N137" s="575"/>
      <c r="O137" s="575"/>
      <c r="P137" s="575"/>
      <c r="Q137" s="575"/>
      <c r="R137" s="575"/>
      <c r="S137" s="575"/>
      <c r="T137" s="575"/>
      <c r="U137" s="575"/>
      <c r="V137" s="575"/>
      <c r="W137" s="575"/>
      <c r="X137" s="575"/>
      <c r="Y137" s="575"/>
      <c r="Z137" s="575"/>
      <c r="AA137" s="575"/>
      <c r="AB137" s="575"/>
      <c r="AC137" s="575"/>
      <c r="AD137" s="865"/>
      <c r="AE137" s="865"/>
      <c r="AF137" s="865"/>
      <c r="AG137" s="865"/>
      <c r="AH137" s="575"/>
      <c r="AI137" s="575"/>
      <c r="AJ137" s="577"/>
      <c r="AK137" s="540"/>
      <c r="AL137" s="540"/>
      <c r="AM137" s="540"/>
      <c r="AN137" s="535"/>
      <c r="AU137" s="1004"/>
      <c r="AV137" s="1004"/>
      <c r="AW137" s="1004"/>
      <c r="AX137" s="1005"/>
      <c r="AY137" s="1004"/>
      <c r="AZ137" s="1004"/>
    </row>
    <row r="138" spans="1:52" s="536" customFormat="1" ht="12.75" customHeight="1">
      <c r="A138" s="540"/>
      <c r="B138" s="539"/>
      <c r="C138" s="540"/>
      <c r="D138" s="540"/>
      <c r="E138" s="2581">
        <f>IF((E137*100)&gt;10,10,E137*100)</f>
        <v>10</v>
      </c>
      <c r="F138" s="2582"/>
      <c r="G138" s="2582"/>
      <c r="H138" s="2583"/>
      <c r="I138" s="575"/>
      <c r="J138" s="578" t="s">
        <v>1322</v>
      </c>
      <c r="K138" s="575"/>
      <c r="L138" s="575"/>
      <c r="M138" s="575"/>
      <c r="N138" s="575"/>
      <c r="O138" s="575"/>
      <c r="P138" s="575"/>
      <c r="Q138" s="575"/>
      <c r="R138" s="575"/>
      <c r="S138" s="575"/>
      <c r="T138" s="575"/>
      <c r="U138" s="575"/>
      <c r="V138" s="575"/>
      <c r="W138" s="575"/>
      <c r="X138" s="575"/>
      <c r="Y138" s="575"/>
      <c r="Z138" s="575"/>
      <c r="AA138" s="575"/>
      <c r="AB138" s="575"/>
      <c r="AC138" s="575"/>
      <c r="AD138" s="575"/>
      <c r="AE138" s="575"/>
      <c r="AF138" s="575"/>
      <c r="AG138" s="575"/>
      <c r="AH138" s="575"/>
      <c r="AI138" s="575"/>
      <c r="AJ138" s="577"/>
      <c r="AK138" s="540"/>
      <c r="AL138" s="540"/>
      <c r="AM138" s="540"/>
      <c r="AN138" s="535"/>
      <c r="AU138" s="1004"/>
      <c r="AV138" s="1004"/>
      <c r="AW138" s="1004"/>
      <c r="AX138" s="1004"/>
      <c r="AY138" s="1004"/>
      <c r="AZ138" s="1004"/>
    </row>
    <row r="139" spans="1:52" s="536" customFormat="1" ht="12.75" customHeight="1">
      <c r="A139" s="540"/>
      <c r="B139" s="540"/>
      <c r="C139" s="540"/>
      <c r="D139" s="540"/>
      <c r="E139" s="586"/>
      <c r="F139" s="587"/>
      <c r="G139" s="587"/>
      <c r="H139" s="587"/>
      <c r="I139" s="587"/>
      <c r="J139" s="587"/>
      <c r="K139" s="587"/>
      <c r="L139" s="587"/>
      <c r="M139" s="587"/>
      <c r="N139" s="587"/>
      <c r="O139" s="587"/>
      <c r="P139" s="587"/>
      <c r="Q139" s="587"/>
      <c r="R139" s="587"/>
      <c r="S139" s="587"/>
      <c r="T139" s="587"/>
      <c r="U139" s="587"/>
      <c r="V139" s="587"/>
      <c r="W139" s="587"/>
      <c r="X139" s="587"/>
      <c r="Y139" s="587"/>
      <c r="Z139" s="587"/>
      <c r="AA139" s="587"/>
      <c r="AB139" s="587"/>
      <c r="AC139" s="587"/>
      <c r="AD139" s="587"/>
      <c r="AE139" s="587"/>
      <c r="AF139" s="587"/>
      <c r="AG139" s="587"/>
      <c r="AH139" s="587"/>
      <c r="AI139" s="587"/>
      <c r="AJ139" s="588"/>
      <c r="AK139" s="540"/>
      <c r="AL139" s="540"/>
      <c r="AM139" s="540"/>
      <c r="AN139" s="535"/>
      <c r="AT139" s="997"/>
      <c r="AU139" s="1004"/>
      <c r="AV139" s="1004"/>
      <c r="AW139" s="1005"/>
      <c r="AX139" s="1004"/>
      <c r="AY139" s="1004"/>
      <c r="AZ139" s="1004"/>
    </row>
    <row r="140" spans="1:52" s="536" customFormat="1" ht="12.75" customHeight="1">
      <c r="A140" s="540"/>
      <c r="B140" s="540"/>
      <c r="C140" s="540"/>
      <c r="D140" s="540"/>
      <c r="E140" s="540"/>
      <c r="F140" s="540"/>
      <c r="G140" s="540"/>
      <c r="H140" s="540"/>
      <c r="I140" s="540"/>
      <c r="J140" s="540"/>
      <c r="K140" s="540"/>
      <c r="L140" s="540"/>
      <c r="M140" s="540"/>
      <c r="N140" s="540"/>
      <c r="O140" s="540"/>
      <c r="P140" s="540"/>
      <c r="Q140" s="540"/>
      <c r="R140" s="540"/>
      <c r="S140" s="540"/>
      <c r="T140" s="540"/>
      <c r="U140" s="540"/>
      <c r="V140" s="540"/>
      <c r="W140" s="540"/>
      <c r="X140" s="540"/>
      <c r="Y140" s="540"/>
      <c r="Z140" s="540"/>
      <c r="AA140" s="540"/>
      <c r="AB140" s="540"/>
      <c r="AC140" s="540"/>
      <c r="AD140" s="540"/>
      <c r="AE140" s="540"/>
      <c r="AF140" s="540"/>
      <c r="AG140" s="540"/>
      <c r="AH140" s="540"/>
      <c r="AI140" s="540"/>
      <c r="AJ140" s="540"/>
      <c r="AK140" s="540"/>
      <c r="AL140" s="540"/>
      <c r="AM140" s="540"/>
      <c r="AN140" s="535"/>
      <c r="AU140" s="1004"/>
      <c r="AV140" s="1004"/>
      <c r="AW140" s="1004"/>
      <c r="AX140" s="1004"/>
      <c r="AY140" s="1004"/>
      <c r="AZ140" s="1004"/>
    </row>
    <row r="141" spans="1:52" s="536" customFormat="1" ht="12.75" customHeight="1">
      <c r="A141" s="540"/>
      <c r="B141" s="540"/>
      <c r="C141" s="540"/>
      <c r="D141" s="540"/>
      <c r="E141" s="540"/>
      <c r="F141" s="540"/>
      <c r="G141" s="540"/>
      <c r="H141" s="540"/>
      <c r="I141" s="540"/>
      <c r="J141" s="540"/>
      <c r="K141" s="540"/>
      <c r="L141" s="540"/>
      <c r="M141" s="540"/>
      <c r="N141" s="540"/>
      <c r="O141" s="540"/>
      <c r="P141" s="540"/>
      <c r="Q141" s="540"/>
      <c r="R141" s="540"/>
      <c r="S141" s="540"/>
      <c r="T141" s="540"/>
      <c r="U141" s="540"/>
      <c r="V141" s="540"/>
      <c r="W141" s="540"/>
      <c r="X141" s="540"/>
      <c r="Y141" s="540"/>
      <c r="Z141" s="540"/>
      <c r="AA141" s="540"/>
      <c r="AB141" s="540"/>
      <c r="AC141" s="540"/>
      <c r="AD141" s="540"/>
      <c r="AE141" s="540"/>
      <c r="AF141" s="540"/>
      <c r="AG141" s="540"/>
      <c r="AH141" s="540"/>
      <c r="AI141" s="540"/>
      <c r="AJ141" s="540"/>
      <c r="AK141" s="540"/>
      <c r="AL141" s="540"/>
      <c r="AM141" s="540"/>
      <c r="AN141" s="535"/>
    </row>
    <row r="142" spans="1:52" s="536" customFormat="1" ht="12.75" customHeight="1">
      <c r="A142" s="559"/>
      <c r="B142" s="560"/>
      <c r="C142" s="560"/>
      <c r="D142" s="560"/>
      <c r="E142" s="560"/>
      <c r="F142" s="560"/>
      <c r="G142" s="561"/>
      <c r="H142" s="562"/>
      <c r="I142" s="562"/>
      <c r="J142" s="562"/>
      <c r="K142" s="562"/>
      <c r="L142" s="562"/>
      <c r="M142" s="562"/>
      <c r="N142" s="562"/>
      <c r="O142" s="562"/>
      <c r="P142" s="562"/>
      <c r="Q142" s="562"/>
      <c r="R142" s="562"/>
      <c r="S142" s="562"/>
      <c r="T142" s="562"/>
      <c r="U142" s="562"/>
      <c r="V142" s="562"/>
      <c r="W142" s="562"/>
      <c r="X142" s="562"/>
      <c r="Y142" s="562"/>
      <c r="Z142" s="562"/>
      <c r="AA142" s="562"/>
      <c r="AB142" s="562"/>
      <c r="AC142" s="562"/>
      <c r="AD142" s="562"/>
      <c r="AE142" s="562"/>
      <c r="AF142" s="562"/>
      <c r="AG142" s="562"/>
      <c r="AH142" s="562"/>
      <c r="AI142" s="563"/>
      <c r="AJ142" s="563" t="s">
        <v>1329</v>
      </c>
      <c r="AK142" s="2581">
        <f>E138</f>
        <v>10</v>
      </c>
      <c r="AL142" s="2582"/>
      <c r="AM142" s="2583"/>
      <c r="AN142" s="535"/>
    </row>
    <row r="143" spans="1:52" s="536" customFormat="1" ht="12.75" customHeight="1" thickBot="1">
      <c r="A143" s="564"/>
      <c r="B143" s="565"/>
      <c r="C143" s="566"/>
      <c r="D143" s="566"/>
      <c r="E143" s="566"/>
      <c r="F143" s="566"/>
      <c r="G143" s="566"/>
      <c r="H143" s="566"/>
      <c r="I143" s="566"/>
      <c r="J143" s="566"/>
      <c r="K143" s="566"/>
      <c r="L143" s="566"/>
      <c r="M143" s="566"/>
      <c r="N143" s="566"/>
      <c r="O143" s="566"/>
      <c r="P143" s="566"/>
      <c r="Q143" s="566"/>
      <c r="R143" s="566"/>
      <c r="S143" s="566"/>
      <c r="T143" s="566"/>
      <c r="U143" s="566"/>
      <c r="V143" s="566"/>
      <c r="W143" s="566"/>
      <c r="X143" s="566"/>
      <c r="Y143" s="566"/>
      <c r="Z143" s="566"/>
      <c r="AA143" s="566"/>
      <c r="AB143" s="566"/>
      <c r="AC143" s="566"/>
      <c r="AD143" s="566"/>
      <c r="AE143" s="566"/>
      <c r="AF143" s="566"/>
      <c r="AG143" s="566"/>
      <c r="AH143" s="566"/>
      <c r="AI143" s="566"/>
      <c r="AJ143" s="566"/>
      <c r="AK143" s="566"/>
      <c r="AL143" s="566"/>
      <c r="AM143" s="567"/>
      <c r="AN143" s="535"/>
    </row>
    <row r="144" spans="1:52" s="536" customFormat="1" ht="12.75" customHeight="1" thickTop="1">
      <c r="A144" s="568"/>
      <c r="B144" s="569"/>
      <c r="C144" s="570"/>
      <c r="D144" s="570"/>
      <c r="E144" s="570"/>
      <c r="F144" s="570"/>
      <c r="G144" s="570"/>
      <c r="H144" s="570"/>
      <c r="I144" s="571"/>
      <c r="J144" s="571"/>
      <c r="K144" s="571"/>
      <c r="L144" s="571"/>
      <c r="M144" s="571"/>
      <c r="N144" s="571"/>
      <c r="O144" s="571"/>
      <c r="P144" s="571"/>
      <c r="Q144" s="571"/>
      <c r="R144" s="568"/>
      <c r="S144" s="539"/>
      <c r="T144" s="539"/>
      <c r="U144" s="539"/>
      <c r="V144" s="539"/>
      <c r="W144" s="539"/>
      <c r="X144" s="539"/>
      <c r="Y144" s="539"/>
      <c r="Z144" s="539"/>
      <c r="AA144" s="539"/>
      <c r="AB144" s="539"/>
      <c r="AC144" s="539"/>
      <c r="AD144" s="539"/>
      <c r="AE144" s="539"/>
      <c r="AF144" s="568"/>
      <c r="AG144" s="539"/>
      <c r="AH144" s="539"/>
      <c r="AI144" s="539"/>
      <c r="AJ144" s="539"/>
      <c r="AK144" s="549"/>
      <c r="AL144" s="549"/>
      <c r="AM144" s="549"/>
      <c r="AN144" s="535"/>
    </row>
    <row r="145" spans="1:42" s="539" customFormat="1" ht="12.75" customHeight="1">
      <c r="A145" s="538" t="s">
        <v>1330</v>
      </c>
      <c r="AE145" s="2447" t="s">
        <v>1308</v>
      </c>
      <c r="AF145" s="2447"/>
      <c r="AG145" s="2447"/>
      <c r="AH145" s="2447"/>
      <c r="AI145" s="2447"/>
      <c r="AJ145" s="2447"/>
      <c r="AK145" s="2447"/>
      <c r="AL145" s="589"/>
      <c r="AN145" s="590"/>
      <c r="AO145" s="536"/>
    </row>
    <row r="146" spans="1:42" s="539" customFormat="1" ht="12.95" customHeight="1">
      <c r="A146" s="538"/>
      <c r="AE146" s="589"/>
      <c r="AF146" s="589"/>
      <c r="AG146" s="589"/>
      <c r="AH146" s="589"/>
      <c r="AI146" s="589"/>
      <c r="AJ146" s="589"/>
      <c r="AK146" s="589"/>
      <c r="AL146" s="589"/>
      <c r="AN146" s="590"/>
    </row>
    <row r="147" spans="1:42" s="536" customFormat="1" ht="12.75" customHeight="1">
      <c r="A147" s="538"/>
      <c r="B147" s="538" t="s">
        <v>1331</v>
      </c>
      <c r="C147" s="539"/>
      <c r="D147" s="539"/>
      <c r="E147" s="539"/>
      <c r="F147" s="539"/>
      <c r="G147" s="539"/>
      <c r="H147" s="539"/>
      <c r="I147" s="539"/>
      <c r="J147" s="539"/>
      <c r="K147" s="539"/>
      <c r="L147" s="539"/>
      <c r="M147" s="539"/>
      <c r="N147" s="539"/>
      <c r="O147" s="539"/>
      <c r="P147" s="539"/>
      <c r="Q147" s="539"/>
      <c r="R147" s="539"/>
      <c r="S147" s="539"/>
      <c r="T147" s="539"/>
      <c r="U147" s="539"/>
      <c r="V147" s="539"/>
      <c r="W147" s="539"/>
      <c r="X147" s="539"/>
      <c r="Y147" s="539"/>
      <c r="Z147" s="539"/>
      <c r="AA147" s="539"/>
      <c r="AB147" s="539"/>
      <c r="AC147" s="539"/>
      <c r="AD147" s="539"/>
      <c r="AF147" s="2388" t="s">
        <v>1332</v>
      </c>
      <c r="AG147" s="2388"/>
      <c r="AH147" s="2388"/>
      <c r="AI147" s="2388"/>
      <c r="AJ147" s="2388"/>
      <c r="AK147" s="2388"/>
      <c r="AL147" s="2388"/>
      <c r="AM147" s="539"/>
      <c r="AN147" s="535"/>
    </row>
    <row r="148" spans="1:42" s="536" customFormat="1" ht="12.75" customHeight="1">
      <c r="A148" s="538"/>
      <c r="B148" s="538" t="s">
        <v>532</v>
      </c>
      <c r="C148" s="603"/>
      <c r="D148" s="603"/>
      <c r="E148" s="603"/>
      <c r="F148" s="603"/>
      <c r="G148" s="603"/>
      <c r="H148" s="603"/>
      <c r="I148" s="603"/>
      <c r="J148" s="603"/>
      <c r="K148" s="603"/>
      <c r="L148" s="603"/>
      <c r="M148" s="603"/>
      <c r="N148" s="603"/>
      <c r="O148" s="603"/>
      <c r="P148" s="603"/>
      <c r="Q148" s="603"/>
      <c r="R148" s="603"/>
      <c r="S148" s="603"/>
      <c r="T148" s="603"/>
      <c r="U148" s="603"/>
      <c r="V148" s="603"/>
      <c r="W148" s="603"/>
      <c r="X148" s="603"/>
      <c r="Y148" s="603"/>
      <c r="Z148" s="603"/>
      <c r="AA148" s="603"/>
      <c r="AB148" s="603"/>
      <c r="AC148" s="603"/>
      <c r="AD148" s="539"/>
      <c r="AL148" s="592"/>
      <c r="AM148" s="539"/>
      <c r="AN148" s="535"/>
    </row>
    <row r="149" spans="1:42" s="536" customFormat="1" ht="15" customHeight="1">
      <c r="A149" s="538"/>
      <c r="B149" s="2585" t="s">
        <v>2666</v>
      </c>
      <c r="C149" s="2585"/>
      <c r="D149" s="2585"/>
      <c r="E149" s="2585"/>
      <c r="F149" s="2585"/>
      <c r="G149" s="2585"/>
      <c r="H149" s="2585"/>
      <c r="I149" s="2585"/>
      <c r="J149" s="2585"/>
      <c r="K149" s="2585"/>
      <c r="L149" s="2585"/>
      <c r="M149" s="2585"/>
      <c r="N149" s="2585"/>
      <c r="O149" s="2585"/>
      <c r="P149" s="2585"/>
      <c r="Q149" s="2585"/>
      <c r="R149" s="2585"/>
      <c r="S149" s="2585"/>
      <c r="T149" s="2585"/>
      <c r="U149" s="2585"/>
      <c r="V149" s="2585"/>
      <c r="W149" s="2585"/>
      <c r="X149" s="2585"/>
      <c r="Y149" s="2585"/>
      <c r="Z149" s="2585"/>
      <c r="AA149" s="2585"/>
      <c r="AB149" s="2585"/>
      <c r="AC149" s="2585"/>
      <c r="AD149" s="539"/>
      <c r="AE149" s="592"/>
      <c r="AF149" s="592"/>
      <c r="AG149" s="592"/>
      <c r="AH149" s="592"/>
      <c r="AI149" s="592"/>
      <c r="AJ149" s="592"/>
      <c r="AK149" s="592"/>
      <c r="AL149" s="592"/>
      <c r="AM149" s="539"/>
      <c r="AN149" s="535"/>
      <c r="AP149" s="593"/>
    </row>
    <row r="150" spans="1:42" s="536" customFormat="1" ht="12.75" customHeight="1">
      <c r="A150" s="538"/>
      <c r="B150" s="538"/>
      <c r="C150" s="539"/>
      <c r="D150" s="539"/>
      <c r="E150" s="539"/>
      <c r="F150" s="539"/>
      <c r="G150" s="539"/>
      <c r="H150" s="539"/>
      <c r="I150" s="539"/>
      <c r="J150" s="539"/>
      <c r="K150" s="539"/>
      <c r="L150" s="539"/>
      <c r="M150" s="539"/>
      <c r="N150" s="539"/>
      <c r="O150" s="539"/>
      <c r="P150" s="539"/>
      <c r="Q150" s="539"/>
      <c r="R150" s="539"/>
      <c r="S150" s="539"/>
      <c r="T150" s="539"/>
      <c r="U150" s="539"/>
      <c r="V150" s="539"/>
      <c r="W150" s="539"/>
      <c r="X150" s="539"/>
      <c r="Y150" s="539"/>
      <c r="Z150" s="539"/>
      <c r="AA150" s="539"/>
      <c r="AB150" s="539"/>
      <c r="AC150" s="539"/>
      <c r="AD150" s="539"/>
      <c r="AE150" s="592"/>
      <c r="AF150" s="592"/>
      <c r="AG150" s="592"/>
      <c r="AH150" s="592"/>
      <c r="AI150" s="592"/>
      <c r="AJ150" s="592"/>
      <c r="AK150" s="592"/>
      <c r="AL150" s="592"/>
      <c r="AM150" s="539"/>
      <c r="AN150" s="535"/>
      <c r="AO150" s="447" t="s">
        <v>307</v>
      </c>
      <c r="AP150" s="544"/>
    </row>
    <row r="151" spans="1:42" s="536" customFormat="1" ht="12.75" customHeight="1">
      <c r="A151" s="538"/>
      <c r="B151" s="539" t="s">
        <v>1333</v>
      </c>
      <c r="C151" s="539"/>
      <c r="D151" s="539"/>
      <c r="E151" s="539"/>
      <c r="F151" s="539"/>
      <c r="G151" s="539"/>
      <c r="H151" s="539"/>
      <c r="I151" s="539"/>
      <c r="J151" s="539"/>
      <c r="K151" s="539"/>
      <c r="L151" s="539"/>
      <c r="M151" s="539"/>
      <c r="N151" s="539"/>
      <c r="O151" s="539"/>
      <c r="P151" s="539"/>
      <c r="Q151" s="539"/>
      <c r="R151" s="539"/>
      <c r="S151" s="539"/>
      <c r="T151" s="539"/>
      <c r="U151" s="539"/>
      <c r="V151" s="539"/>
      <c r="W151" s="539"/>
      <c r="X151" s="539"/>
      <c r="Y151" s="539"/>
      <c r="Z151" s="539"/>
      <c r="AA151" s="539"/>
      <c r="AB151" s="539"/>
      <c r="AC151" s="539"/>
      <c r="AD151" s="539"/>
      <c r="AE151" s="539"/>
      <c r="AF151" s="539"/>
      <c r="AG151" s="539"/>
      <c r="AH151" s="539"/>
      <c r="AI151" s="539"/>
      <c r="AJ151" s="539"/>
      <c r="AK151" s="539"/>
      <c r="AL151" s="539"/>
      <c r="AM151" s="539"/>
      <c r="AN151" s="535"/>
      <c r="AO151" s="476" t="s">
        <v>1334</v>
      </c>
      <c r="AP151" s="489">
        <v>5</v>
      </c>
    </row>
    <row r="152" spans="1:42" s="536" customFormat="1" ht="12.75" customHeight="1">
      <c r="A152" s="538"/>
      <c r="B152" s="2586" t="s">
        <v>1335</v>
      </c>
      <c r="C152" s="2586"/>
      <c r="D152" s="2586"/>
      <c r="E152" s="2586"/>
      <c r="F152" s="2586"/>
      <c r="G152" s="2586"/>
      <c r="H152" s="2586"/>
      <c r="I152" s="2586"/>
      <c r="J152" s="2586"/>
      <c r="K152" s="2586"/>
      <c r="L152" s="2586"/>
      <c r="M152" s="2586"/>
      <c r="N152" s="2586"/>
      <c r="O152" s="2586"/>
      <c r="P152" s="2586"/>
      <c r="Q152" s="2586"/>
      <c r="R152" s="2586"/>
      <c r="S152" s="2586"/>
      <c r="T152" s="2586"/>
      <c r="U152" s="2586"/>
      <c r="V152" s="2586"/>
      <c r="W152" s="2586"/>
      <c r="X152" s="2586"/>
      <c r="Y152" s="2586"/>
      <c r="Z152" s="2586"/>
      <c r="AA152" s="2586"/>
      <c r="AB152" s="2586"/>
      <c r="AC152" s="2586"/>
      <c r="AD152" s="2586"/>
      <c r="AE152" s="2586"/>
      <c r="AF152" s="2586"/>
      <c r="AG152" s="2586"/>
      <c r="AH152" s="2586"/>
      <c r="AI152" s="2586"/>
      <c r="AM152" s="539"/>
      <c r="AN152" s="535"/>
      <c r="AO152" s="476" t="s">
        <v>1335</v>
      </c>
      <c r="AP152" s="489">
        <v>7</v>
      </c>
    </row>
    <row r="153" spans="1:42" s="536" customFormat="1" ht="12.95" customHeight="1">
      <c r="A153" s="538"/>
      <c r="B153" s="603"/>
      <c r="C153" s="603"/>
      <c r="D153" s="603"/>
      <c r="E153" s="603"/>
      <c r="F153" s="603"/>
      <c r="G153" s="603"/>
      <c r="H153" s="603"/>
      <c r="I153" s="603"/>
      <c r="J153" s="603"/>
      <c r="K153" s="603"/>
      <c r="L153" s="603"/>
      <c r="M153" s="603"/>
      <c r="N153" s="603"/>
      <c r="O153" s="603"/>
      <c r="P153" s="603"/>
      <c r="Q153" s="603"/>
      <c r="R153" s="603"/>
      <c r="S153" s="603"/>
      <c r="T153" s="603"/>
      <c r="U153" s="603"/>
      <c r="V153" s="603"/>
      <c r="W153" s="603"/>
      <c r="X153" s="603"/>
      <c r="Y153" s="603"/>
      <c r="Z153" s="603"/>
      <c r="AA153" s="603"/>
      <c r="AB153" s="603"/>
      <c r="AC153" s="603"/>
      <c r="AD153" s="589"/>
      <c r="AM153" s="539"/>
      <c r="AN153" s="535"/>
      <c r="AO153" s="476" t="s">
        <v>2621</v>
      </c>
      <c r="AP153" s="489">
        <v>7</v>
      </c>
    </row>
    <row r="154" spans="1:42" s="536" customFormat="1" ht="12.75" customHeight="1">
      <c r="A154" s="538"/>
      <c r="B154" s="539" t="s">
        <v>1336</v>
      </c>
      <c r="AB154" s="2395" t="s">
        <v>591</v>
      </c>
      <c r="AC154" s="2395"/>
      <c r="AD154" s="589"/>
      <c r="AM154" s="539"/>
      <c r="AN154" s="535"/>
      <c r="AO154" s="476"/>
      <c r="AP154" s="476"/>
    </row>
    <row r="155" spans="1:42" s="536" customFormat="1" ht="9" customHeight="1">
      <c r="A155" s="538"/>
      <c r="B155" s="603"/>
      <c r="C155" s="603"/>
      <c r="D155" s="603"/>
      <c r="E155" s="603"/>
      <c r="F155" s="603"/>
      <c r="G155" s="603"/>
      <c r="H155" s="603"/>
      <c r="I155" s="603"/>
      <c r="J155" s="603"/>
      <c r="K155" s="603"/>
      <c r="L155" s="603"/>
      <c r="M155" s="603"/>
      <c r="N155" s="603"/>
      <c r="O155" s="603"/>
      <c r="P155" s="603"/>
      <c r="Q155" s="603"/>
      <c r="R155" s="603"/>
      <c r="S155" s="603"/>
      <c r="T155" s="603"/>
      <c r="U155" s="603"/>
      <c r="V155" s="603"/>
      <c r="W155" s="603"/>
      <c r="X155" s="603"/>
      <c r="Y155" s="603"/>
      <c r="Z155" s="603"/>
      <c r="AA155" s="603"/>
      <c r="AB155" s="603"/>
      <c r="AC155" s="603"/>
      <c r="AD155" s="589"/>
      <c r="AM155" s="539"/>
      <c r="AN155" s="535"/>
      <c r="AO155" s="447" t="s">
        <v>1337</v>
      </c>
      <c r="AP155" s="489"/>
    </row>
    <row r="156" spans="1:42" s="536" customFormat="1" ht="12.75" customHeight="1">
      <c r="A156" s="538"/>
      <c r="B156" s="538" t="s">
        <v>1338</v>
      </c>
      <c r="C156" s="603"/>
      <c r="D156" s="603"/>
      <c r="E156" s="603"/>
      <c r="F156" s="603"/>
      <c r="G156" s="603"/>
      <c r="H156" s="603"/>
      <c r="I156" s="603"/>
      <c r="J156" s="603"/>
      <c r="K156" s="603"/>
      <c r="L156" s="603"/>
      <c r="M156" s="603"/>
      <c r="N156" s="603"/>
      <c r="O156" s="603"/>
      <c r="P156" s="603"/>
      <c r="Q156" s="603"/>
      <c r="R156" s="603"/>
      <c r="S156" s="603"/>
      <c r="T156" s="603"/>
      <c r="U156" s="603"/>
      <c r="V156" s="603"/>
      <c r="W156" s="603"/>
      <c r="X156" s="603"/>
      <c r="Y156" s="603"/>
      <c r="Z156" s="603"/>
      <c r="AA156" s="603"/>
      <c r="AB156" s="603"/>
      <c r="AC156" s="603"/>
      <c r="AD156" s="589"/>
      <c r="AM156" s="539"/>
      <c r="AN156" s="535"/>
      <c r="AO156" s="476" t="s">
        <v>1339</v>
      </c>
      <c r="AP156" s="489">
        <v>5</v>
      </c>
    </row>
    <row r="157" spans="1:42" s="536" customFormat="1" ht="12.75" customHeight="1">
      <c r="A157" s="538"/>
      <c r="B157" s="2586" t="s">
        <v>1337</v>
      </c>
      <c r="C157" s="2586"/>
      <c r="D157" s="2586"/>
      <c r="E157" s="2586"/>
      <c r="F157" s="2586"/>
      <c r="G157" s="2586"/>
      <c r="H157" s="2586"/>
      <c r="I157" s="2586"/>
      <c r="J157" s="2586"/>
      <c r="K157" s="2586"/>
      <c r="L157" s="2586"/>
      <c r="M157" s="2586"/>
      <c r="N157" s="2586"/>
      <c r="O157" s="2586"/>
      <c r="P157" s="2586"/>
      <c r="Q157" s="2586"/>
      <c r="R157" s="2586"/>
      <c r="S157" s="2586"/>
      <c r="T157" s="2586"/>
      <c r="U157" s="2586"/>
      <c r="V157" s="2586"/>
      <c r="W157" s="2586"/>
      <c r="X157" s="2586"/>
      <c r="Y157" s="2586"/>
      <c r="Z157" s="2586"/>
      <c r="AA157" s="2586"/>
      <c r="AB157" s="2586"/>
      <c r="AC157" s="2586"/>
      <c r="AD157" s="2586"/>
      <c r="AE157" s="2586"/>
      <c r="AF157" s="2586"/>
      <c r="AG157" s="2586"/>
      <c r="AH157" s="2586"/>
      <c r="AI157" s="2586"/>
      <c r="AJ157" s="2586"/>
      <c r="AN157" s="535"/>
      <c r="AO157" s="476" t="s">
        <v>1340</v>
      </c>
      <c r="AP157" s="489">
        <v>7</v>
      </c>
    </row>
    <row r="158" spans="1:42" s="536" customFormat="1" ht="12.75" customHeight="1">
      <c r="B158" s="539" t="s">
        <v>1341</v>
      </c>
      <c r="C158" s="603"/>
      <c r="D158" s="603"/>
      <c r="E158" s="603"/>
      <c r="F158" s="603"/>
      <c r="G158" s="603"/>
      <c r="H158" s="603"/>
      <c r="I158" s="603"/>
      <c r="J158" s="603"/>
      <c r="K158" s="603"/>
      <c r="L158" s="603"/>
      <c r="M158" s="603"/>
      <c r="N158" s="603"/>
      <c r="O158" s="603"/>
      <c r="P158" s="603"/>
      <c r="Q158" s="603"/>
      <c r="R158" s="603"/>
      <c r="S158" s="603"/>
      <c r="T158" s="603"/>
      <c r="U158" s="603"/>
      <c r="AM158" s="539"/>
      <c r="AN158" s="535"/>
      <c r="AO158" s="476"/>
      <c r="AP158" s="489"/>
    </row>
    <row r="159" spans="1:42" s="536" customFormat="1" ht="12.75" customHeight="1">
      <c r="B159" s="539"/>
      <c r="C159" s="603"/>
      <c r="D159" s="603"/>
      <c r="E159" s="603"/>
      <c r="F159" s="603"/>
      <c r="G159" s="603"/>
      <c r="H159" s="603"/>
      <c r="I159" s="603"/>
      <c r="J159" s="603"/>
      <c r="K159" s="603"/>
      <c r="L159" s="603"/>
      <c r="M159" s="603"/>
      <c r="N159" s="603"/>
      <c r="O159" s="603"/>
      <c r="P159" s="603"/>
      <c r="Q159" s="603"/>
      <c r="R159" s="603"/>
      <c r="S159" s="603"/>
      <c r="T159" s="603"/>
      <c r="U159" s="603"/>
      <c r="AM159" s="539"/>
      <c r="AN159" s="535"/>
      <c r="AO159" s="476"/>
      <c r="AP159" s="489"/>
    </row>
    <row r="160" spans="1:42" s="536" customFormat="1" ht="12.75" customHeight="1">
      <c r="B160" s="2392" t="s">
        <v>2405</v>
      </c>
      <c r="C160" s="2392"/>
      <c r="D160" s="2392"/>
      <c r="E160" s="2392"/>
      <c r="F160" s="2392"/>
      <c r="G160" s="2392"/>
      <c r="H160" s="2392"/>
      <c r="I160" s="2392"/>
      <c r="J160" s="2392"/>
      <c r="K160" s="2392"/>
      <c r="L160" s="2392"/>
      <c r="M160" s="2392"/>
      <c r="N160" s="2392"/>
      <c r="O160" s="2392"/>
      <c r="P160" s="2392"/>
      <c r="Q160" s="2392"/>
      <c r="R160" s="2392"/>
      <c r="S160" s="2392"/>
      <c r="T160" s="2392"/>
      <c r="U160" s="2392"/>
      <c r="V160" s="2392"/>
      <c r="W160" s="2392"/>
      <c r="X160" s="2392"/>
      <c r="Y160" s="2392"/>
      <c r="Z160" s="2392"/>
      <c r="AA160" s="2392"/>
      <c r="AB160" s="2392"/>
      <c r="AC160" s="2392"/>
      <c r="AD160" s="2392"/>
      <c r="AE160" s="2392"/>
      <c r="AF160" s="2392"/>
      <c r="AG160" s="2392"/>
      <c r="AH160" s="2392"/>
      <c r="AI160" s="2392"/>
      <c r="AJ160" s="2392"/>
      <c r="AK160" s="1173"/>
      <c r="AM160" s="539"/>
      <c r="AN160" s="535"/>
      <c r="AO160" s="476"/>
      <c r="AP160" s="489"/>
    </row>
    <row r="161" spans="1:42" s="536" customFormat="1" ht="12.75" customHeight="1">
      <c r="B161" s="2392"/>
      <c r="C161" s="2392"/>
      <c r="D161" s="2392"/>
      <c r="E161" s="2392"/>
      <c r="F161" s="2392"/>
      <c r="G161" s="2392"/>
      <c r="H161" s="2392"/>
      <c r="I161" s="2392"/>
      <c r="J161" s="2392"/>
      <c r="K161" s="2392"/>
      <c r="L161" s="2392"/>
      <c r="M161" s="2392"/>
      <c r="N161" s="2392"/>
      <c r="O161" s="2392"/>
      <c r="P161" s="2392"/>
      <c r="Q161" s="2392"/>
      <c r="R161" s="2392"/>
      <c r="S161" s="2392"/>
      <c r="T161" s="2392"/>
      <c r="U161" s="2392"/>
      <c r="V161" s="2392"/>
      <c r="W161" s="2392"/>
      <c r="X161" s="2392"/>
      <c r="Y161" s="2392"/>
      <c r="Z161" s="2392"/>
      <c r="AA161" s="2392"/>
      <c r="AB161" s="2392"/>
      <c r="AC161" s="2392"/>
      <c r="AD161" s="2392"/>
      <c r="AE161" s="2392"/>
      <c r="AF161" s="2392"/>
      <c r="AG161" s="2392"/>
      <c r="AH161" s="2392"/>
      <c r="AI161" s="2392"/>
      <c r="AJ161" s="2392"/>
      <c r="AK161" s="1173"/>
      <c r="AM161" s="539"/>
      <c r="AN161" s="535"/>
      <c r="AO161" s="476"/>
      <c r="AP161" s="489"/>
    </row>
    <row r="162" spans="1:42" s="536" customFormat="1" ht="12.75" customHeight="1">
      <c r="C162" s="2393" t="s">
        <v>2406</v>
      </c>
      <c r="D162" s="2393"/>
      <c r="E162" s="2393"/>
      <c r="F162" s="2393"/>
      <c r="G162" s="2393"/>
      <c r="H162" s="2393"/>
      <c r="I162" s="2393"/>
      <c r="J162" s="2393"/>
      <c r="K162" s="2393"/>
      <c r="L162" s="2393"/>
      <c r="M162" s="2393"/>
      <c r="N162" s="2393"/>
      <c r="O162" s="2393"/>
      <c r="P162" s="2393"/>
      <c r="Q162" s="2393"/>
      <c r="R162" s="2393"/>
      <c r="S162" s="2393"/>
      <c r="T162" s="2393"/>
      <c r="U162" s="2393"/>
      <c r="V162" s="2393"/>
      <c r="W162" s="2393"/>
      <c r="X162" s="2393"/>
      <c r="Y162" s="2393"/>
      <c r="Z162" s="2393"/>
      <c r="AA162" s="2393"/>
      <c r="AB162" s="2393"/>
      <c r="AC162" s="2393"/>
      <c r="AD162" s="2393"/>
      <c r="AE162" s="2393"/>
      <c r="AF162" s="2393"/>
      <c r="AG162" s="2393"/>
      <c r="AH162" s="2393"/>
      <c r="AI162" s="2393"/>
      <c r="AJ162" s="2393"/>
      <c r="AK162" s="1173"/>
      <c r="AM162" s="539"/>
      <c r="AN162" s="535"/>
      <c r="AO162" s="476"/>
      <c r="AP162" s="489"/>
    </row>
    <row r="163" spans="1:42" s="536" customFormat="1" ht="12.75" customHeight="1">
      <c r="B163" s="1173"/>
      <c r="C163" s="2394" t="s">
        <v>2404</v>
      </c>
      <c r="D163" s="2394"/>
      <c r="E163" s="2394"/>
      <c r="F163" s="2394"/>
      <c r="G163" s="2394"/>
      <c r="H163" s="2394"/>
      <c r="I163" s="2394"/>
      <c r="J163" s="2394"/>
      <c r="K163" s="2394"/>
      <c r="L163" s="2394"/>
      <c r="M163" s="2394"/>
      <c r="N163" s="2394"/>
      <c r="O163" s="2394"/>
      <c r="P163" s="2394"/>
      <c r="Q163" s="2394"/>
      <c r="R163" s="2394"/>
      <c r="S163" s="2394"/>
      <c r="T163" s="2394"/>
      <c r="U163" s="2394"/>
      <c r="V163" s="2394"/>
      <c r="W163" s="2394"/>
      <c r="X163" s="2394"/>
      <c r="Y163" s="2394"/>
      <c r="Z163" s="2394"/>
      <c r="AA163" s="1163"/>
      <c r="AB163" s="1163"/>
      <c r="AC163" s="1163"/>
      <c r="AD163" s="1163"/>
      <c r="AE163" s="1163"/>
      <c r="AF163" s="1163"/>
      <c r="AG163" s="1163"/>
      <c r="AH163" s="1163"/>
      <c r="AJ163" s="2395" t="s">
        <v>591</v>
      </c>
      <c r="AK163" s="2395"/>
      <c r="AM163" s="539"/>
      <c r="AN163" s="535"/>
      <c r="AO163" s="476"/>
      <c r="AP163" s="489"/>
    </row>
    <row r="164" spans="1:42" s="536" customFormat="1" ht="12.75" customHeight="1">
      <c r="AM164" s="539"/>
      <c r="AN164" s="535"/>
    </row>
    <row r="165" spans="1:42" s="549" customFormat="1" ht="12.75" customHeight="1">
      <c r="A165" s="598"/>
      <c r="B165" s="599"/>
      <c r="C165" s="599"/>
      <c r="D165" s="599"/>
      <c r="E165" s="599"/>
      <c r="F165" s="599"/>
      <c r="G165" s="599"/>
      <c r="H165" s="599"/>
      <c r="I165" s="599"/>
      <c r="J165" s="599"/>
      <c r="K165" s="599"/>
      <c r="L165" s="599"/>
      <c r="M165" s="599"/>
      <c r="N165" s="599"/>
      <c r="O165" s="599"/>
      <c r="P165" s="599"/>
      <c r="Q165" s="599"/>
      <c r="R165" s="599"/>
      <c r="S165" s="599"/>
      <c r="T165" s="599"/>
      <c r="U165" s="599"/>
      <c r="V165" s="599"/>
      <c r="W165" s="599"/>
      <c r="X165" s="599"/>
      <c r="Y165" s="599"/>
      <c r="Z165" s="599"/>
      <c r="AA165" s="599"/>
      <c r="AB165" s="599"/>
      <c r="AC165" s="599"/>
      <c r="AD165" s="599"/>
      <c r="AE165" s="599"/>
      <c r="AF165" s="599"/>
      <c r="AG165" s="599"/>
      <c r="AH165" s="599"/>
      <c r="AI165" s="563" t="s">
        <v>1343</v>
      </c>
      <c r="AJ165" s="2487">
        <f>IF($AB$154="N/A",VLOOKUP($B$152,$AO$150:$AP$153,2,FALSE),VLOOKUP($B$157,$AO$155:$AP$157,2,FALSE))</f>
        <v>7</v>
      </c>
      <c r="AK165" s="2487"/>
      <c r="AL165" s="593"/>
      <c r="AM165" s="536"/>
      <c r="AN165" s="596"/>
    </row>
    <row r="166" spans="1:42" s="549" customFormat="1" ht="12.75" customHeight="1">
      <c r="A166" s="593"/>
      <c r="B166" s="593"/>
      <c r="C166" s="536"/>
      <c r="D166" s="536"/>
      <c r="E166" s="536"/>
      <c r="F166" s="536"/>
      <c r="G166" s="536"/>
      <c r="H166" s="536"/>
      <c r="I166" s="536"/>
      <c r="J166" s="536"/>
      <c r="K166" s="536"/>
      <c r="L166" s="536"/>
      <c r="M166" s="536"/>
      <c r="N166" s="536"/>
      <c r="O166" s="536"/>
      <c r="P166" s="536"/>
      <c r="Q166" s="536"/>
      <c r="R166" s="536"/>
      <c r="S166" s="536"/>
      <c r="T166" s="536"/>
      <c r="U166" s="536"/>
      <c r="V166" s="536"/>
      <c r="W166" s="536"/>
      <c r="X166" s="536"/>
      <c r="Y166" s="536"/>
      <c r="Z166" s="536"/>
      <c r="AA166" s="536"/>
      <c r="AB166" s="536"/>
      <c r="AC166" s="536"/>
      <c r="AD166" s="536"/>
      <c r="AE166" s="536"/>
      <c r="AF166" s="536"/>
      <c r="AG166" s="536"/>
      <c r="AH166" s="536"/>
      <c r="AI166" s="536"/>
      <c r="AJ166" s="536"/>
      <c r="AK166" s="536"/>
      <c r="AL166" s="536"/>
      <c r="AM166" s="536"/>
      <c r="AN166" s="596"/>
    </row>
    <row r="167" spans="1:42" s="549" customFormat="1" ht="12.75" customHeight="1">
      <c r="A167" s="536"/>
      <c r="B167" s="538" t="s">
        <v>1345</v>
      </c>
      <c r="C167" s="539"/>
      <c r="D167" s="536"/>
      <c r="E167" s="640"/>
      <c r="F167" s="640"/>
      <c r="G167" s="640"/>
      <c r="H167" s="640"/>
      <c r="I167" s="640"/>
      <c r="J167" s="640"/>
      <c r="K167" s="640"/>
      <c r="L167" s="640"/>
      <c r="M167" s="640"/>
      <c r="N167" s="640"/>
      <c r="O167" s="640"/>
      <c r="P167" s="640"/>
      <c r="Q167" s="640"/>
      <c r="R167" s="640"/>
      <c r="S167" s="640"/>
      <c r="T167" s="640"/>
      <c r="U167" s="640"/>
      <c r="V167" s="640"/>
      <c r="W167" s="640"/>
      <c r="X167" s="640"/>
      <c r="Y167" s="640"/>
      <c r="Z167" s="640"/>
      <c r="AA167" s="640"/>
      <c r="AB167" s="640"/>
      <c r="AC167" s="640"/>
      <c r="AD167" s="640"/>
      <c r="AE167" s="536"/>
      <c r="AF167" s="2388" t="s">
        <v>1346</v>
      </c>
      <c r="AG167" s="2388"/>
      <c r="AH167" s="2388"/>
      <c r="AI167" s="2388"/>
      <c r="AJ167" s="2388"/>
      <c r="AK167" s="2388"/>
      <c r="AL167" s="2388"/>
      <c r="AM167" s="601"/>
      <c r="AN167" s="596"/>
    </row>
    <row r="168" spans="1:42" s="549" customFormat="1" ht="12.75" customHeight="1">
      <c r="A168" s="536"/>
      <c r="B168" s="539" t="s">
        <v>1347</v>
      </c>
      <c r="C168" s="536"/>
      <c r="D168" s="536"/>
      <c r="E168" s="536"/>
      <c r="F168" s="536"/>
      <c r="G168" s="536"/>
      <c r="H168" s="536"/>
      <c r="I168" s="536"/>
      <c r="J168" s="536"/>
      <c r="K168" s="536"/>
      <c r="L168" s="536"/>
      <c r="M168" s="536"/>
      <c r="N168" s="536"/>
      <c r="O168" s="536"/>
      <c r="P168" s="536"/>
      <c r="Q168" s="536"/>
      <c r="R168" s="536"/>
      <c r="S168" s="536"/>
      <c r="T168" s="536"/>
      <c r="U168" s="536"/>
      <c r="V168" s="536"/>
      <c r="W168" s="536"/>
      <c r="X168" s="536"/>
      <c r="Y168" s="536"/>
      <c r="Z168" s="536"/>
      <c r="AA168" s="539"/>
      <c r="AB168" s="539"/>
      <c r="AC168" s="539"/>
      <c r="AD168" s="539"/>
      <c r="AE168" s="536"/>
      <c r="AF168" s="536"/>
      <c r="AG168" s="536"/>
      <c r="AH168" s="536"/>
      <c r="AI168" s="536"/>
      <c r="AJ168" s="536"/>
      <c r="AK168" s="536"/>
      <c r="AL168" s="536"/>
      <c r="AM168" s="601"/>
      <c r="AN168" s="596"/>
    </row>
    <row r="169" spans="1:42" s="549" customFormat="1" ht="12.75" customHeight="1">
      <c r="A169" s="536"/>
      <c r="B169" s="536"/>
      <c r="C169" s="2586" t="s">
        <v>1344</v>
      </c>
      <c r="D169" s="2586"/>
      <c r="E169" s="2586"/>
      <c r="F169" s="2586"/>
      <c r="G169" s="2586"/>
      <c r="H169" s="2586"/>
      <c r="I169" s="2586"/>
      <c r="J169" s="2586"/>
      <c r="K169" s="2586"/>
      <c r="L169" s="2586"/>
      <c r="M169" s="2586"/>
      <c r="N169" s="2586"/>
      <c r="O169" s="2586"/>
      <c r="P169" s="2586"/>
      <c r="Q169" s="2586"/>
      <c r="R169" s="2586"/>
      <c r="S169" s="2586"/>
      <c r="T169" s="2586"/>
      <c r="U169" s="2586"/>
      <c r="V169" s="2586"/>
      <c r="W169" s="2586"/>
      <c r="X169" s="2586"/>
      <c r="Y169" s="2586"/>
      <c r="Z169" s="2586"/>
      <c r="AA169" s="2586"/>
      <c r="AB169" s="2586"/>
      <c r="AC169" s="2586"/>
      <c r="AD169" s="2586"/>
      <c r="AE169" s="2586"/>
      <c r="AF169" s="2586"/>
      <c r="AG169" s="2586"/>
      <c r="AH169" s="2586"/>
      <c r="AI169" s="2586"/>
      <c r="AJ169" s="536"/>
      <c r="AK169" s="536"/>
      <c r="AL169" s="536"/>
      <c r="AM169" s="601"/>
      <c r="AN169" s="595"/>
      <c r="AO169" s="476" t="s">
        <v>307</v>
      </c>
      <c r="AP169" s="476"/>
    </row>
    <row r="170" spans="1:42" s="549" customFormat="1" ht="12.95" customHeight="1">
      <c r="A170" s="536"/>
      <c r="B170" s="536"/>
      <c r="C170" s="603"/>
      <c r="D170" s="603"/>
      <c r="E170" s="603"/>
      <c r="F170" s="603"/>
      <c r="G170" s="603"/>
      <c r="H170" s="603"/>
      <c r="I170" s="603"/>
      <c r="J170" s="603"/>
      <c r="K170" s="603"/>
      <c r="L170" s="603"/>
      <c r="M170" s="603"/>
      <c r="N170" s="603"/>
      <c r="O170" s="603"/>
      <c r="P170" s="603"/>
      <c r="Q170" s="603"/>
      <c r="R170" s="603"/>
      <c r="S170" s="603"/>
      <c r="T170" s="603"/>
      <c r="U170" s="603"/>
      <c r="V170" s="603"/>
      <c r="W170" s="603"/>
      <c r="X170" s="603"/>
      <c r="Y170" s="603"/>
      <c r="Z170" s="603"/>
      <c r="AA170" s="603"/>
      <c r="AB170" s="603"/>
      <c r="AC170" s="603"/>
      <c r="AD170" s="603"/>
      <c r="AE170" s="536"/>
      <c r="AF170" s="536"/>
      <c r="AG170" s="536"/>
      <c r="AH170" s="536"/>
      <c r="AI170" s="536"/>
      <c r="AJ170" s="536"/>
      <c r="AK170" s="536"/>
      <c r="AL170" s="536"/>
      <c r="AM170" s="601"/>
      <c r="AN170" s="595"/>
      <c r="AO170" s="476" t="s">
        <v>1342</v>
      </c>
      <c r="AP170" s="597">
        <v>2</v>
      </c>
    </row>
    <row r="171" spans="1:42" s="549" customFormat="1" ht="12.75" customHeight="1">
      <c r="A171" s="536"/>
      <c r="B171" s="536"/>
      <c r="C171" s="539" t="s">
        <v>1349</v>
      </c>
      <c r="D171" s="536"/>
      <c r="E171" s="536"/>
      <c r="F171" s="536"/>
      <c r="G171" s="536"/>
      <c r="H171" s="536"/>
      <c r="I171" s="536"/>
      <c r="J171" s="536"/>
      <c r="K171" s="536"/>
      <c r="L171" s="536"/>
      <c r="M171" s="536"/>
      <c r="N171" s="536"/>
      <c r="O171" s="536"/>
      <c r="P171" s="536"/>
      <c r="Q171" s="536"/>
      <c r="R171" s="536"/>
      <c r="S171" s="536"/>
      <c r="T171" s="536"/>
      <c r="U171" s="536"/>
      <c r="V171" s="536"/>
      <c r="W171" s="536"/>
      <c r="X171" s="536"/>
      <c r="Y171" s="536"/>
      <c r="Z171" s="536"/>
      <c r="AA171" s="536"/>
      <c r="AB171" s="536"/>
      <c r="AE171" s="536"/>
      <c r="AF171" s="2395" t="s">
        <v>591</v>
      </c>
      <c r="AG171" s="2395"/>
      <c r="AH171" s="536"/>
      <c r="AI171" s="536"/>
      <c r="AJ171" s="536"/>
      <c r="AK171" s="536"/>
      <c r="AL171" s="536"/>
      <c r="AM171" s="601"/>
      <c r="AN171" s="595"/>
      <c r="AO171" s="476" t="s">
        <v>1344</v>
      </c>
      <c r="AP171" s="597">
        <v>3</v>
      </c>
    </row>
    <row r="172" spans="1:42" s="549" customFormat="1" ht="9" customHeight="1">
      <c r="A172" s="536"/>
      <c r="B172" s="536"/>
      <c r="C172" s="603"/>
      <c r="D172" s="603"/>
      <c r="E172" s="603"/>
      <c r="F172" s="603"/>
      <c r="G172" s="603"/>
      <c r="H172" s="603"/>
      <c r="I172" s="603"/>
      <c r="J172" s="603"/>
      <c r="K172" s="603"/>
      <c r="L172" s="603"/>
      <c r="M172" s="603"/>
      <c r="N172" s="603"/>
      <c r="O172" s="603"/>
      <c r="P172" s="603"/>
      <c r="Q172" s="603"/>
      <c r="R172" s="603"/>
      <c r="S172" s="603"/>
      <c r="T172" s="603"/>
      <c r="U172" s="603"/>
      <c r="V172" s="603"/>
      <c r="W172" s="603"/>
      <c r="X172" s="603"/>
      <c r="Y172" s="603"/>
      <c r="Z172" s="603"/>
      <c r="AA172" s="603"/>
      <c r="AB172" s="603"/>
      <c r="AC172" s="603"/>
      <c r="AD172" s="603"/>
      <c r="AE172" s="536"/>
      <c r="AF172" s="536"/>
      <c r="AG172" s="536"/>
      <c r="AJ172" s="536"/>
      <c r="AK172" s="536"/>
      <c r="AL172" s="536"/>
      <c r="AM172" s="601"/>
      <c r="AN172" s="595"/>
      <c r="AO172" s="600" t="s">
        <v>2122</v>
      </c>
      <c r="AP172" s="597">
        <v>3</v>
      </c>
    </row>
    <row r="173" spans="1:42" s="549" customFormat="1" ht="12.75" customHeight="1">
      <c r="A173" s="536"/>
      <c r="B173" s="536"/>
      <c r="C173" s="2586" t="s">
        <v>1337</v>
      </c>
      <c r="D173" s="2586"/>
      <c r="E173" s="2586"/>
      <c r="F173" s="2586"/>
      <c r="G173" s="2586"/>
      <c r="H173" s="2586"/>
      <c r="I173" s="2586"/>
      <c r="J173" s="2586"/>
      <c r="K173" s="2586"/>
      <c r="L173" s="2586"/>
      <c r="M173" s="2586"/>
      <c r="N173" s="2586"/>
      <c r="O173" s="2586"/>
      <c r="P173" s="2586"/>
      <c r="Q173" s="2586"/>
      <c r="R173" s="2586"/>
      <c r="S173" s="2586"/>
      <c r="T173" s="2586"/>
      <c r="U173" s="2586"/>
      <c r="V173" s="2586"/>
      <c r="W173" s="2586"/>
      <c r="X173" s="2586"/>
      <c r="Y173" s="2586"/>
      <c r="Z173" s="2586"/>
      <c r="AA173" s="2586"/>
      <c r="AB173" s="2586"/>
      <c r="AC173" s="2586"/>
      <c r="AD173" s="2586"/>
      <c r="AE173" s="536"/>
      <c r="AF173" s="536"/>
      <c r="AG173" s="536"/>
      <c r="AH173" s="536"/>
      <c r="AI173" s="536"/>
      <c r="AJ173" s="536"/>
      <c r="AK173" s="536"/>
      <c r="AL173" s="536"/>
      <c r="AM173" s="601"/>
      <c r="AN173" s="595"/>
      <c r="AO173" s="600"/>
      <c r="AP173" s="597"/>
    </row>
    <row r="174" spans="1:42" s="549" customFormat="1" ht="12.75" customHeight="1">
      <c r="A174" s="536"/>
      <c r="B174" s="536"/>
      <c r="C174" s="539" t="s">
        <v>1341</v>
      </c>
      <c r="D174" s="539"/>
      <c r="E174" s="539"/>
      <c r="F174" s="539"/>
      <c r="G174" s="539"/>
      <c r="H174" s="539"/>
      <c r="I174" s="539"/>
      <c r="J174" s="539"/>
      <c r="K174" s="539"/>
      <c r="L174" s="539"/>
      <c r="M174" s="539"/>
      <c r="N174" s="539"/>
      <c r="O174" s="539"/>
      <c r="P174" s="539"/>
      <c r="Q174" s="539"/>
      <c r="R174" s="539"/>
      <c r="S174" s="539"/>
      <c r="T174" s="539"/>
      <c r="U174" s="539"/>
      <c r="V174" s="539"/>
      <c r="W174" s="539"/>
      <c r="X174" s="539"/>
      <c r="Y174" s="539"/>
      <c r="Z174" s="539"/>
      <c r="AA174" s="539"/>
      <c r="AB174" s="539"/>
      <c r="AC174" s="539"/>
      <c r="AD174" s="539"/>
      <c r="AE174" s="539"/>
      <c r="AF174" s="539"/>
      <c r="AG174" s="539"/>
      <c r="AH174" s="539"/>
      <c r="AI174" s="539"/>
      <c r="AJ174" s="539"/>
      <c r="AK174" s="539"/>
      <c r="AL174" s="536"/>
      <c r="AM174" s="601"/>
      <c r="AN174" s="595"/>
      <c r="AO174" s="602"/>
      <c r="AP174" s="602"/>
    </row>
    <row r="175" spans="1:42" s="549" customFormat="1" ht="12.75" customHeight="1">
      <c r="A175" s="536"/>
      <c r="B175" s="536"/>
      <c r="C175" s="536"/>
      <c r="D175" s="536"/>
      <c r="E175" s="536"/>
      <c r="F175" s="536"/>
      <c r="G175" s="536"/>
      <c r="H175" s="536"/>
      <c r="I175" s="536"/>
      <c r="J175" s="536"/>
      <c r="K175" s="536"/>
      <c r="L175" s="536"/>
      <c r="M175" s="536"/>
      <c r="N175" s="536"/>
      <c r="O175" s="536"/>
      <c r="P175" s="536"/>
      <c r="Q175" s="536"/>
      <c r="R175" s="536"/>
      <c r="S175" s="536"/>
      <c r="T175" s="536"/>
      <c r="U175" s="536"/>
      <c r="V175" s="536"/>
      <c r="W175" s="536"/>
      <c r="X175" s="536"/>
      <c r="Y175" s="536"/>
      <c r="Z175" s="536"/>
      <c r="AA175" s="536"/>
      <c r="AB175" s="536"/>
      <c r="AC175" s="536"/>
      <c r="AD175" s="536"/>
      <c r="AE175" s="536"/>
      <c r="AF175" s="536"/>
      <c r="AG175" s="536"/>
      <c r="AH175" s="536"/>
      <c r="AI175" s="536"/>
      <c r="AJ175" s="536"/>
      <c r="AK175" s="536"/>
      <c r="AL175" s="536"/>
      <c r="AM175" s="601"/>
      <c r="AN175" s="595"/>
    </row>
    <row r="176" spans="1:42" s="549" customFormat="1" ht="12.75" customHeight="1">
      <c r="A176" s="536"/>
      <c r="B176" s="536"/>
      <c r="C176" s="538" t="s">
        <v>1351</v>
      </c>
      <c r="D176" s="603"/>
      <c r="E176" s="603"/>
      <c r="F176" s="603"/>
      <c r="G176" s="603"/>
      <c r="H176" s="603"/>
      <c r="I176" s="603"/>
      <c r="J176" s="603"/>
      <c r="K176" s="603"/>
      <c r="L176" s="603"/>
      <c r="M176" s="603"/>
      <c r="N176" s="603"/>
      <c r="O176" s="603"/>
      <c r="P176" s="603"/>
      <c r="Q176" s="603"/>
      <c r="R176" s="603"/>
      <c r="S176" s="603"/>
      <c r="T176" s="603"/>
      <c r="U176" s="603"/>
      <c r="V176" s="603"/>
      <c r="W176" s="603"/>
      <c r="X176" s="603"/>
      <c r="Y176" s="603"/>
      <c r="Z176" s="603"/>
      <c r="AA176" s="603"/>
      <c r="AB176" s="603"/>
      <c r="AC176" s="603"/>
      <c r="AD176" s="603"/>
      <c r="AE176" s="536"/>
      <c r="AF176" s="536"/>
      <c r="AG176" s="536"/>
      <c r="AH176" s="536"/>
      <c r="AI176" s="536"/>
      <c r="AJ176" s="536"/>
      <c r="AK176" s="536"/>
      <c r="AL176" s="536"/>
      <c r="AM176" s="601"/>
      <c r="AN176" s="595"/>
      <c r="AO176" s="476" t="s">
        <v>1337</v>
      </c>
      <c r="AP176" s="476"/>
    </row>
    <row r="177" spans="1:73" s="549" customFormat="1" ht="12.75" customHeight="1">
      <c r="A177" s="536"/>
      <c r="B177" s="536"/>
      <c r="C177" s="2587" t="str">
        <f>Application!AA344</f>
        <v>Danco Property Management</v>
      </c>
      <c r="D177" s="2587"/>
      <c r="E177" s="2587"/>
      <c r="F177" s="2587"/>
      <c r="G177" s="2587"/>
      <c r="H177" s="2587"/>
      <c r="I177" s="2587"/>
      <c r="J177" s="2587"/>
      <c r="K177" s="2587"/>
      <c r="L177" s="2587"/>
      <c r="M177" s="2587"/>
      <c r="N177" s="2587"/>
      <c r="O177" s="2587"/>
      <c r="P177" s="2587"/>
      <c r="Q177" s="2587"/>
      <c r="R177" s="2587"/>
      <c r="S177" s="2587"/>
      <c r="T177" s="2587"/>
      <c r="U177" s="2587"/>
      <c r="V177" s="2587"/>
      <c r="W177" s="2587"/>
      <c r="X177" s="2587"/>
      <c r="Y177" s="2587"/>
      <c r="Z177" s="2587"/>
      <c r="AA177" s="2587"/>
      <c r="AB177" s="2587"/>
      <c r="AC177" s="2587"/>
      <c r="AD177" s="2587"/>
      <c r="AE177" s="536"/>
      <c r="AF177" s="536"/>
      <c r="AG177" s="536"/>
      <c r="AH177" s="536"/>
      <c r="AI177" s="536"/>
      <c r="AJ177" s="536"/>
      <c r="AK177" s="536"/>
      <c r="AL177" s="536"/>
      <c r="AM177" s="601"/>
      <c r="AN177" s="595"/>
      <c r="AO177" s="476" t="s">
        <v>1348</v>
      </c>
      <c r="AP177" s="597">
        <v>2</v>
      </c>
    </row>
    <row r="178" spans="1:73" s="549" customFormat="1" ht="12.75" customHeight="1">
      <c r="A178" s="536"/>
      <c r="B178" s="536"/>
      <c r="C178" s="603"/>
      <c r="D178" s="603"/>
      <c r="E178" s="603"/>
      <c r="F178" s="603"/>
      <c r="G178" s="603"/>
      <c r="H178" s="603"/>
      <c r="I178" s="603"/>
      <c r="J178" s="603"/>
      <c r="K178" s="603"/>
      <c r="L178" s="603"/>
      <c r="M178" s="603"/>
      <c r="N178" s="603"/>
      <c r="O178" s="603"/>
      <c r="P178" s="603"/>
      <c r="Q178" s="603"/>
      <c r="R178" s="603"/>
      <c r="S178" s="603"/>
      <c r="T178" s="603"/>
      <c r="U178" s="603"/>
      <c r="V178" s="603"/>
      <c r="W178" s="603"/>
      <c r="X178" s="603"/>
      <c r="Y178" s="603"/>
      <c r="Z178" s="603"/>
      <c r="AA178" s="603"/>
      <c r="AB178" s="603"/>
      <c r="AC178" s="603"/>
      <c r="AD178" s="603"/>
      <c r="AE178" s="536"/>
      <c r="AF178" s="536"/>
      <c r="AG178" s="536"/>
      <c r="AH178" s="536"/>
      <c r="AI178" s="536"/>
      <c r="AJ178" s="536"/>
      <c r="AK178" s="536"/>
      <c r="AL178" s="536"/>
      <c r="AM178" s="601"/>
      <c r="AN178" s="595"/>
      <c r="AO178" s="476" t="s">
        <v>1350</v>
      </c>
      <c r="AP178" s="597">
        <v>3</v>
      </c>
    </row>
    <row r="179" spans="1:73" s="549" customFormat="1" ht="12.75" customHeight="1">
      <c r="A179" s="604"/>
      <c r="B179" s="562"/>
      <c r="C179" s="562"/>
      <c r="D179" s="561"/>
      <c r="E179" s="562"/>
      <c r="F179" s="562"/>
      <c r="G179" s="562"/>
      <c r="H179" s="562"/>
      <c r="I179" s="562"/>
      <c r="J179" s="562"/>
      <c r="K179" s="562"/>
      <c r="L179" s="562"/>
      <c r="M179" s="562"/>
      <c r="N179" s="562"/>
      <c r="O179" s="562"/>
      <c r="P179" s="562"/>
      <c r="Q179" s="599"/>
      <c r="R179" s="605"/>
      <c r="S179" s="562"/>
      <c r="T179" s="562"/>
      <c r="U179" s="562"/>
      <c r="V179" s="562"/>
      <c r="W179" s="562"/>
      <c r="X179" s="562"/>
      <c r="Y179" s="562"/>
      <c r="Z179" s="562"/>
      <c r="AA179" s="562"/>
      <c r="AB179" s="562"/>
      <c r="AC179" s="562"/>
      <c r="AD179" s="562"/>
      <c r="AE179" s="562"/>
      <c r="AF179" s="562"/>
      <c r="AG179" s="562"/>
      <c r="AH179" s="562"/>
      <c r="AI179" s="563" t="s">
        <v>1352</v>
      </c>
      <c r="AJ179" s="2486">
        <f>IF($AF$171="N/A",VLOOKUP($C$169,$AO$169:$AP$172,2,FALSE),VLOOKUP($C$173,$AO$176:$AP$178,2,FALSE))</f>
        <v>3</v>
      </c>
      <c r="AK179" s="2486"/>
      <c r="AL179" s="606"/>
      <c r="AM179" s="607"/>
      <c r="AN179" s="595"/>
      <c r="AO179" s="600"/>
      <c r="AP179" s="597"/>
    </row>
    <row r="180" spans="1:73" s="549" customFormat="1" ht="12.75" customHeight="1">
      <c r="A180" s="536"/>
      <c r="B180" s="608"/>
      <c r="R180" s="536"/>
      <c r="S180" s="608"/>
      <c r="AN180" s="595"/>
    </row>
    <row r="181" spans="1:73" s="549" customFormat="1" ht="12.75" customHeight="1">
      <c r="A181" s="609"/>
      <c r="B181" s="601"/>
      <c r="C181" s="601"/>
      <c r="D181" s="601"/>
      <c r="E181" s="601"/>
      <c r="F181" s="601"/>
      <c r="G181" s="601"/>
      <c r="H181" s="601"/>
      <c r="I181" s="601"/>
      <c r="J181" s="601"/>
      <c r="K181" s="601"/>
      <c r="L181" s="601"/>
      <c r="M181" s="601"/>
      <c r="N181" s="601"/>
      <c r="O181" s="601"/>
      <c r="P181" s="601"/>
      <c r="Q181" s="601"/>
      <c r="R181" s="601"/>
      <c r="S181" s="601"/>
      <c r="T181" s="601"/>
      <c r="U181" s="601"/>
      <c r="V181" s="601"/>
      <c r="W181" s="601"/>
      <c r="X181" s="601"/>
      <c r="Y181" s="601"/>
      <c r="Z181" s="601"/>
      <c r="AA181" s="601"/>
      <c r="AB181" s="601"/>
      <c r="AC181" s="601"/>
      <c r="AD181" s="601"/>
      <c r="AE181" s="601"/>
      <c r="AF181" s="601"/>
      <c r="AG181" s="601"/>
      <c r="AH181" s="601"/>
      <c r="AI181" s="601"/>
      <c r="AJ181" s="601"/>
      <c r="AK181" s="601"/>
      <c r="AL181" s="601"/>
      <c r="AM181" s="601"/>
      <c r="AN181" s="595"/>
    </row>
    <row r="182" spans="1:73" s="549" customFormat="1" ht="12.75" customHeight="1">
      <c r="A182" s="559"/>
      <c r="B182" s="560"/>
      <c r="C182" s="560"/>
      <c r="D182" s="560"/>
      <c r="E182" s="560"/>
      <c r="F182" s="560"/>
      <c r="G182" s="561"/>
      <c r="H182" s="562"/>
      <c r="I182" s="562"/>
      <c r="J182" s="562"/>
      <c r="K182" s="562"/>
      <c r="L182" s="562"/>
      <c r="M182" s="562"/>
      <c r="N182" s="562"/>
      <c r="O182" s="562"/>
      <c r="P182" s="562"/>
      <c r="Q182" s="562"/>
      <c r="R182" s="562"/>
      <c r="S182" s="562"/>
      <c r="T182" s="562"/>
      <c r="U182" s="562"/>
      <c r="V182" s="562"/>
      <c r="W182" s="562"/>
      <c r="X182" s="562"/>
      <c r="Y182" s="562"/>
      <c r="Z182" s="562"/>
      <c r="AA182" s="562"/>
      <c r="AB182" s="562"/>
      <c r="AC182" s="562"/>
      <c r="AD182" s="562"/>
      <c r="AE182" s="562"/>
      <c r="AF182" s="562"/>
      <c r="AG182" s="562"/>
      <c r="AH182" s="562"/>
      <c r="AI182" s="563"/>
      <c r="AJ182" s="563" t="s">
        <v>1353</v>
      </c>
      <c r="AK182" s="2581">
        <f>$AJ$165+$AJ$179</f>
        <v>10</v>
      </c>
      <c r="AL182" s="2582"/>
      <c r="AM182" s="2583"/>
      <c r="AN182" s="595"/>
    </row>
    <row r="183" spans="1:73" s="549" customFormat="1" ht="12.75" customHeight="1" thickBot="1">
      <c r="A183" s="564"/>
      <c r="B183" s="565"/>
      <c r="C183" s="566"/>
      <c r="D183" s="566"/>
      <c r="E183" s="566"/>
      <c r="F183" s="566"/>
      <c r="G183" s="566"/>
      <c r="H183" s="566"/>
      <c r="I183" s="566"/>
      <c r="J183" s="566"/>
      <c r="K183" s="566"/>
      <c r="L183" s="566"/>
      <c r="M183" s="566"/>
      <c r="N183" s="566"/>
      <c r="O183" s="566"/>
      <c r="P183" s="566"/>
      <c r="Q183" s="566"/>
      <c r="R183" s="566"/>
      <c r="S183" s="566"/>
      <c r="T183" s="566"/>
      <c r="U183" s="566"/>
      <c r="V183" s="566"/>
      <c r="W183" s="566"/>
      <c r="X183" s="566"/>
      <c r="Y183" s="566"/>
      <c r="Z183" s="566"/>
      <c r="AA183" s="566"/>
      <c r="AB183" s="566"/>
      <c r="AC183" s="566"/>
      <c r="AD183" s="566"/>
      <c r="AE183" s="566"/>
      <c r="AF183" s="566"/>
      <c r="AG183" s="566"/>
      <c r="AH183" s="566"/>
      <c r="AI183" s="566"/>
      <c r="AJ183" s="566"/>
      <c r="AK183" s="566"/>
      <c r="AL183" s="566"/>
      <c r="AM183" s="567"/>
      <c r="AN183" s="595"/>
      <c r="AO183" s="566"/>
      <c r="AR183" s="566"/>
      <c r="AS183" s="566"/>
      <c r="AT183" s="566"/>
      <c r="AU183" s="566"/>
      <c r="AV183" s="566"/>
      <c r="AW183" s="566"/>
      <c r="AX183" s="566"/>
      <c r="AY183" s="566"/>
      <c r="AZ183" s="566"/>
      <c r="BA183" s="566"/>
      <c r="BB183" s="566"/>
      <c r="BC183" s="566"/>
      <c r="BD183" s="566"/>
      <c r="BE183" s="566"/>
      <c r="BF183" s="566"/>
      <c r="BG183" s="566"/>
      <c r="BH183" s="566"/>
      <c r="BI183" s="566"/>
      <c r="BJ183" s="566"/>
      <c r="BK183" s="566"/>
      <c r="BL183" s="566"/>
      <c r="BM183" s="566"/>
      <c r="BN183" s="566"/>
      <c r="BO183" s="566"/>
      <c r="BP183" s="566"/>
      <c r="BQ183" s="566"/>
      <c r="BR183" s="566"/>
      <c r="BS183" s="566"/>
      <c r="BT183" s="566"/>
      <c r="BU183" s="566"/>
    </row>
    <row r="184" spans="1:73" s="549" customFormat="1" ht="12.75" customHeight="1" thickTop="1">
      <c r="A184" s="568"/>
      <c r="B184" s="569"/>
      <c r="C184" s="570"/>
      <c r="D184" s="570"/>
      <c r="E184" s="570"/>
      <c r="F184" s="570"/>
      <c r="G184" s="570"/>
      <c r="H184" s="570"/>
      <c r="I184" s="571"/>
      <c r="J184" s="571"/>
      <c r="K184" s="571"/>
      <c r="L184" s="571"/>
      <c r="M184" s="571"/>
      <c r="N184" s="571"/>
      <c r="O184" s="571"/>
      <c r="P184" s="571"/>
      <c r="Q184" s="571"/>
      <c r="R184" s="568"/>
      <c r="S184" s="539"/>
      <c r="T184" s="539"/>
      <c r="U184" s="539"/>
      <c r="V184" s="539"/>
      <c r="W184" s="539"/>
      <c r="X184" s="539"/>
      <c r="Y184" s="539"/>
      <c r="Z184" s="539"/>
      <c r="AA184" s="539"/>
      <c r="AB184" s="539"/>
      <c r="AC184" s="539"/>
      <c r="AD184" s="539"/>
      <c r="AE184" s="539"/>
      <c r="AF184" s="568"/>
      <c r="AG184" s="539"/>
      <c r="AH184" s="539"/>
      <c r="AI184" s="539"/>
      <c r="AJ184" s="539"/>
      <c r="AN184" s="595"/>
      <c r="AP184" s="610" t="s">
        <v>1354</v>
      </c>
      <c r="AQ184" s="610">
        <v>0</v>
      </c>
    </row>
    <row r="185" spans="1:73" s="549" customFormat="1" ht="12.75" customHeight="1">
      <c r="A185" s="538" t="s">
        <v>1355</v>
      </c>
      <c r="B185" s="538" t="s">
        <v>1716</v>
      </c>
      <c r="C185" s="611"/>
      <c r="D185" s="612"/>
      <c r="E185" s="612"/>
      <c r="F185" s="612"/>
      <c r="G185" s="612"/>
      <c r="H185" s="612"/>
      <c r="I185" s="612"/>
      <c r="J185" s="612"/>
      <c r="K185" s="536"/>
      <c r="L185" s="536"/>
      <c r="M185" s="536"/>
      <c r="N185" s="536"/>
      <c r="O185" s="536"/>
      <c r="P185" s="536"/>
      <c r="Q185" s="536"/>
      <c r="R185" s="536"/>
      <c r="S185" s="536"/>
      <c r="T185" s="536"/>
      <c r="U185" s="536"/>
      <c r="V185" s="536"/>
      <c r="W185" s="536"/>
      <c r="X185" s="536"/>
      <c r="Y185" s="613"/>
      <c r="Z185" s="613"/>
      <c r="AA185" s="613"/>
      <c r="AB185" s="613"/>
      <c r="AC185" s="536"/>
      <c r="AD185" s="536"/>
      <c r="AE185" s="2447" t="s">
        <v>1308</v>
      </c>
      <c r="AF185" s="2447"/>
      <c r="AG185" s="2447"/>
      <c r="AH185" s="2447"/>
      <c r="AI185" s="2447"/>
      <c r="AJ185" s="2447"/>
      <c r="AK185" s="2447"/>
      <c r="AL185" s="589"/>
      <c r="AN185" s="595"/>
      <c r="AP185" s="549" t="s">
        <v>1041</v>
      </c>
      <c r="AQ185" s="549">
        <v>10</v>
      </c>
    </row>
    <row r="186" spans="1:73" s="549" customFormat="1" ht="12.75" customHeight="1">
      <c r="A186" s="538"/>
      <c r="B186" s="614"/>
      <c r="C186" s="615"/>
      <c r="D186" s="612"/>
      <c r="E186" s="612"/>
      <c r="F186" s="612"/>
      <c r="G186" s="612"/>
      <c r="H186" s="536"/>
      <c r="I186" s="536"/>
      <c r="J186" s="536"/>
      <c r="K186" s="536"/>
      <c r="L186" s="536"/>
      <c r="M186" s="536"/>
      <c r="N186" s="536"/>
      <c r="O186" s="536"/>
      <c r="P186" s="536"/>
      <c r="Q186" s="536"/>
      <c r="R186" s="613"/>
      <c r="S186" s="613"/>
      <c r="T186" s="613"/>
      <c r="U186" s="613"/>
      <c r="V186" s="613"/>
      <c r="W186" s="613"/>
      <c r="X186" s="613"/>
      <c r="Y186" s="613"/>
      <c r="Z186" s="613"/>
      <c r="AA186" s="613"/>
      <c r="AB186" s="613"/>
      <c r="AC186" s="589"/>
      <c r="AD186" s="589"/>
      <c r="AE186" s="536"/>
      <c r="AF186" s="536"/>
      <c r="AG186" s="536"/>
      <c r="AH186" s="536"/>
      <c r="AI186" s="536"/>
      <c r="AJ186" s="536"/>
      <c r="AK186" s="536"/>
      <c r="AL186" s="536"/>
      <c r="AN186" s="595"/>
      <c r="AP186" s="549" t="s">
        <v>1356</v>
      </c>
      <c r="AQ186" s="549">
        <v>10</v>
      </c>
    </row>
    <row r="187" spans="1:73" s="549" customFormat="1" ht="12.75" customHeight="1">
      <c r="A187" s="536"/>
      <c r="B187" s="2584" t="s">
        <v>1356</v>
      </c>
      <c r="C187" s="2584"/>
      <c r="D187" s="2584"/>
      <c r="E187" s="2584"/>
      <c r="F187" s="2584"/>
      <c r="G187" s="2584"/>
      <c r="H187" s="2584"/>
      <c r="I187" s="2584"/>
      <c r="J187" s="2584"/>
      <c r="K187" s="2584"/>
      <c r="L187" s="2584"/>
      <c r="M187" s="2584"/>
      <c r="N187" s="2584"/>
      <c r="O187" s="2584"/>
      <c r="P187" s="2584"/>
      <c r="Q187" s="2584"/>
      <c r="R187" s="2584"/>
      <c r="S187" s="2584"/>
      <c r="T187" s="2584"/>
      <c r="U187" s="2584"/>
      <c r="V187" s="2584"/>
      <c r="W187" s="2584"/>
      <c r="X187" s="2584"/>
      <c r="Y187" s="2584"/>
      <c r="Z187" s="2584"/>
      <c r="AA187" s="2584"/>
      <c r="AB187" s="2584"/>
      <c r="AC187" s="2584"/>
      <c r="AD187" s="536"/>
      <c r="AE187" s="536"/>
      <c r="AF187" s="2388" t="s">
        <v>1357</v>
      </c>
      <c r="AG187" s="2388"/>
      <c r="AH187" s="2388"/>
      <c r="AI187" s="2388"/>
      <c r="AJ187" s="2388"/>
      <c r="AK187" s="2388"/>
      <c r="AL187" s="2388"/>
      <c r="AN187" s="595"/>
      <c r="AP187" s="549" t="s">
        <v>1043</v>
      </c>
      <c r="AQ187" s="549">
        <v>10</v>
      </c>
    </row>
    <row r="188" spans="1:73" s="549" customFormat="1" ht="12.75" customHeight="1">
      <c r="A188" s="536"/>
      <c r="B188" s="2394" t="s">
        <v>1715</v>
      </c>
      <c r="C188" s="2394"/>
      <c r="D188" s="2394"/>
      <c r="E188" s="2394"/>
      <c r="F188" s="2394"/>
      <c r="G188" s="2394"/>
      <c r="H188" s="2394"/>
      <c r="I188" s="2394"/>
      <c r="J188" s="2394"/>
      <c r="K188" s="2394"/>
      <c r="L188" s="2394"/>
      <c r="M188" s="2394"/>
      <c r="N188" s="2394"/>
      <c r="O188" s="2394"/>
      <c r="P188" s="2394"/>
      <c r="Q188" s="2394"/>
      <c r="R188" s="2394"/>
      <c r="S188" s="2394"/>
      <c r="T188" s="2585" t="s">
        <v>591</v>
      </c>
      <c r="U188" s="2585"/>
      <c r="V188" s="2585"/>
      <c r="W188" s="2585"/>
      <c r="X188" s="2585"/>
      <c r="Y188" s="2585"/>
      <c r="Z188" s="2585"/>
      <c r="AA188" s="2585"/>
      <c r="AB188" s="2585"/>
      <c r="AC188" s="2585"/>
      <c r="AD188" s="536"/>
      <c r="AE188" s="536"/>
      <c r="AF188" s="536"/>
      <c r="AG188" s="536"/>
      <c r="AH188" s="536"/>
      <c r="AI188" s="536"/>
      <c r="AJ188" s="543"/>
      <c r="AK188" s="593"/>
      <c r="AL188" s="593"/>
      <c r="AM188" s="593"/>
      <c r="AN188" s="595"/>
      <c r="AP188" s="549" t="s">
        <v>1358</v>
      </c>
      <c r="AQ188" s="549">
        <v>10</v>
      </c>
      <c r="AS188" s="549" t="s">
        <v>591</v>
      </c>
    </row>
    <row r="189" spans="1:73" s="549" customFormat="1" ht="12.75" customHeight="1">
      <c r="A189" s="536"/>
      <c r="B189" s="603"/>
      <c r="C189" s="603"/>
      <c r="D189" s="603"/>
      <c r="E189" s="603"/>
      <c r="F189" s="603"/>
      <c r="G189" s="603"/>
      <c r="H189" s="603"/>
      <c r="I189" s="603"/>
      <c r="J189" s="603"/>
      <c r="K189" s="603"/>
      <c r="L189" s="603"/>
      <c r="M189" s="603"/>
      <c r="N189" s="603"/>
      <c r="O189" s="603"/>
      <c r="P189" s="603"/>
      <c r="Q189" s="603"/>
      <c r="R189" s="603"/>
      <c r="S189" s="603"/>
      <c r="T189" s="603"/>
      <c r="U189" s="603"/>
      <c r="V189" s="603"/>
      <c r="W189" s="603"/>
      <c r="X189" s="603"/>
      <c r="Y189" s="603"/>
      <c r="Z189" s="603"/>
      <c r="AA189" s="603"/>
      <c r="AB189" s="603"/>
      <c r="AC189" s="603"/>
      <c r="AD189" s="603"/>
      <c r="AE189" s="536"/>
      <c r="AF189" s="536"/>
      <c r="AG189" s="536"/>
      <c r="AH189" s="536"/>
      <c r="AI189" s="536"/>
      <c r="AJ189" s="543"/>
      <c r="AK189" s="593"/>
      <c r="AL189" s="593"/>
      <c r="AM189" s="616"/>
      <c r="AP189" s="549" t="s">
        <v>2622</v>
      </c>
      <c r="AQ189" s="549">
        <v>10</v>
      </c>
      <c r="AS189" s="549" t="s">
        <v>1359</v>
      </c>
    </row>
    <row r="190" spans="1:73" s="549" customFormat="1" ht="12.75" customHeight="1">
      <c r="A190" s="604"/>
      <c r="B190" s="562"/>
      <c r="C190" s="562"/>
      <c r="D190" s="562"/>
      <c r="E190" s="562"/>
      <c r="F190" s="562"/>
      <c r="G190" s="562"/>
      <c r="H190" s="562"/>
      <c r="I190" s="562"/>
      <c r="J190" s="562"/>
      <c r="K190" s="562"/>
      <c r="L190" s="562"/>
      <c r="M190" s="562"/>
      <c r="N190" s="562"/>
      <c r="O190" s="562"/>
      <c r="P190" s="562"/>
      <c r="Q190" s="562"/>
      <c r="R190" s="562"/>
      <c r="S190" s="562"/>
      <c r="T190" s="562"/>
      <c r="U190" s="562"/>
      <c r="V190" s="562"/>
      <c r="W190" s="562"/>
      <c r="X190" s="562"/>
      <c r="Y190" s="562"/>
      <c r="Z190" s="562"/>
      <c r="AA190" s="562"/>
      <c r="AB190" s="562"/>
      <c r="AC190" s="562"/>
      <c r="AD190" s="562"/>
      <c r="AE190" s="562"/>
      <c r="AF190" s="562"/>
      <c r="AG190" s="562"/>
      <c r="AH190" s="562"/>
      <c r="AI190" s="563"/>
      <c r="AJ190" s="563" t="s">
        <v>1360</v>
      </c>
      <c r="AK190" s="2390">
        <f>IF(AK83&gt;0,VLOOKUP($B$187,AP184:AQ190,2,FALSE),0)</f>
        <v>10</v>
      </c>
      <c r="AL190" s="2436"/>
      <c r="AM190" s="2391"/>
      <c r="AN190" s="535"/>
      <c r="AP190" s="549" t="s">
        <v>1362</v>
      </c>
      <c r="AQ190" s="549">
        <v>10</v>
      </c>
      <c r="AS190" s="549" t="s">
        <v>1361</v>
      </c>
    </row>
    <row r="191" spans="1:73" s="549" customFormat="1" ht="12.75" customHeight="1" thickBot="1">
      <c r="A191" s="617"/>
      <c r="B191" s="617"/>
      <c r="C191" s="618"/>
      <c r="D191" s="619"/>
      <c r="E191" s="619"/>
      <c r="F191" s="619"/>
      <c r="G191" s="619"/>
      <c r="H191" s="619"/>
      <c r="I191" s="619"/>
      <c r="J191" s="619"/>
      <c r="K191" s="619"/>
      <c r="L191" s="619"/>
      <c r="M191" s="619"/>
      <c r="N191" s="619"/>
      <c r="O191" s="619"/>
      <c r="P191" s="619"/>
      <c r="Q191" s="619"/>
      <c r="R191" s="619"/>
      <c r="S191" s="619"/>
      <c r="T191" s="619"/>
      <c r="U191" s="619"/>
      <c r="V191" s="619"/>
      <c r="W191" s="619"/>
      <c r="X191" s="619"/>
      <c r="Y191" s="619"/>
      <c r="Z191" s="619"/>
      <c r="AA191" s="619"/>
      <c r="AB191" s="619"/>
      <c r="AC191" s="619"/>
      <c r="AD191" s="619"/>
      <c r="AE191" s="619"/>
      <c r="AF191" s="619"/>
      <c r="AG191" s="619"/>
      <c r="AH191" s="619"/>
      <c r="AI191" s="619"/>
      <c r="AJ191" s="619"/>
      <c r="AK191" s="619"/>
      <c r="AL191" s="619"/>
      <c r="AM191" s="619"/>
      <c r="AN191" s="595"/>
    </row>
    <row r="192" spans="1:73" s="549" customFormat="1" ht="12.75" hidden="1" customHeight="1" thickTop="1">
      <c r="A192" s="568"/>
      <c r="B192" s="569"/>
      <c r="C192" s="570"/>
      <c r="D192" s="570"/>
      <c r="E192" s="570"/>
      <c r="F192" s="570"/>
      <c r="G192" s="570"/>
      <c r="H192" s="570"/>
      <c r="I192" s="571"/>
      <c r="J192" s="571"/>
      <c r="K192" s="571"/>
      <c r="L192" s="571"/>
      <c r="M192" s="571"/>
      <c r="N192" s="571"/>
      <c r="O192" s="571"/>
      <c r="P192" s="571"/>
      <c r="Q192" s="571"/>
      <c r="R192" s="568"/>
      <c r="S192" s="539"/>
      <c r="T192" s="539"/>
      <c r="U192" s="539"/>
      <c r="V192" s="539"/>
      <c r="W192" s="539"/>
      <c r="X192" s="539"/>
      <c r="Y192" s="539"/>
      <c r="Z192" s="539"/>
      <c r="AA192" s="539"/>
      <c r="AB192" s="539"/>
      <c r="AC192" s="539"/>
      <c r="AD192" s="539"/>
      <c r="AE192" s="539"/>
      <c r="AF192" s="568"/>
      <c r="AG192" s="539"/>
      <c r="AH192" s="539"/>
      <c r="AI192" s="539"/>
      <c r="AJ192" s="539"/>
      <c r="AN192" s="595"/>
    </row>
    <row r="193" spans="1:37" hidden="1">
      <c r="A193" s="538" t="s">
        <v>1363</v>
      </c>
      <c r="B193" s="538" t="s">
        <v>1364</v>
      </c>
      <c r="C193" s="611"/>
      <c r="D193" s="612"/>
      <c r="E193" s="612"/>
      <c r="F193" s="612"/>
      <c r="G193" s="612"/>
      <c r="H193" s="612"/>
      <c r="I193" s="612"/>
      <c r="J193" s="612"/>
      <c r="K193" s="549"/>
      <c r="L193" s="549"/>
      <c r="M193" s="549"/>
      <c r="N193" s="549"/>
      <c r="O193" s="549"/>
      <c r="P193" s="549"/>
      <c r="Q193" s="549"/>
      <c r="R193" s="549"/>
      <c r="S193" s="549"/>
      <c r="T193" s="549"/>
      <c r="U193" s="549"/>
      <c r="V193" s="549"/>
      <c r="W193" s="549"/>
      <c r="X193" s="549"/>
      <c r="Y193" s="613"/>
      <c r="Z193" s="613"/>
      <c r="AA193" s="613"/>
      <c r="AB193" s="613"/>
      <c r="AC193" s="549"/>
      <c r="AD193" s="549"/>
      <c r="AE193" s="2447" t="s">
        <v>1365</v>
      </c>
      <c r="AF193" s="2447"/>
      <c r="AG193" s="2447"/>
      <c r="AH193" s="2447"/>
      <c r="AI193" s="2447"/>
      <c r="AJ193" s="2447"/>
      <c r="AK193" s="2447"/>
    </row>
    <row r="194" spans="1:37" hidden="1">
      <c r="A194" s="538"/>
      <c r="B194" s="538"/>
      <c r="C194" s="611"/>
      <c r="D194" s="612"/>
      <c r="E194" s="612"/>
      <c r="F194" s="612"/>
      <c r="G194" s="612"/>
      <c r="H194" s="612"/>
      <c r="I194" s="612"/>
      <c r="J194" s="612"/>
      <c r="K194" s="536"/>
      <c r="L194" s="536"/>
      <c r="M194" s="536"/>
      <c r="N194" s="536"/>
      <c r="O194" s="536"/>
      <c r="P194" s="536"/>
      <c r="Q194" s="536"/>
      <c r="R194" s="536"/>
      <c r="S194" s="536"/>
      <c r="T194" s="536"/>
      <c r="U194" s="536"/>
      <c r="V194" s="536"/>
      <c r="W194" s="536"/>
      <c r="X194" s="536"/>
      <c r="Y194" s="613"/>
      <c r="Z194" s="613"/>
      <c r="AA194" s="613"/>
      <c r="AB194" s="613"/>
      <c r="AC194" s="536"/>
      <c r="AD194" s="536"/>
      <c r="AE194" s="543"/>
      <c r="AF194" s="543"/>
      <c r="AG194" s="543"/>
      <c r="AH194" s="543"/>
      <c r="AI194" s="543"/>
      <c r="AJ194" s="543"/>
      <c r="AK194" s="543"/>
    </row>
    <row r="195" spans="1:37" hidden="1">
      <c r="A195" s="538"/>
      <c r="B195" s="840" t="s">
        <v>1578</v>
      </c>
      <c r="C195" s="611"/>
      <c r="D195" s="612"/>
      <c r="E195" s="612"/>
      <c r="F195" s="612"/>
      <c r="G195" s="612"/>
      <c r="H195" s="612"/>
      <c r="I195" s="612"/>
      <c r="J195" s="612"/>
      <c r="K195" s="536"/>
      <c r="L195" s="536"/>
      <c r="M195" s="536"/>
      <c r="N195" s="536"/>
      <c r="O195" s="536"/>
      <c r="P195" s="536"/>
      <c r="Q195" s="536"/>
      <c r="R195" s="536"/>
      <c r="S195" s="536"/>
      <c r="T195" s="536"/>
      <c r="U195" s="536"/>
      <c r="V195" s="536"/>
      <c r="W195" s="536"/>
      <c r="X195" s="536"/>
      <c r="Y195" s="613"/>
      <c r="Z195" s="613"/>
      <c r="AA195" s="613"/>
      <c r="AB195" s="613"/>
      <c r="AC195" s="536"/>
      <c r="AD195" s="536"/>
      <c r="AE195" s="543"/>
      <c r="AF195" s="543"/>
      <c r="AG195" s="543"/>
      <c r="AH195" s="543"/>
      <c r="AI195" s="543"/>
      <c r="AJ195" s="543"/>
      <c r="AK195" s="543"/>
    </row>
    <row r="196" spans="1:37" hidden="1">
      <c r="A196" s="603"/>
      <c r="C196" s="659"/>
      <c r="D196" s="823"/>
      <c r="E196" s="823"/>
      <c r="F196" s="823"/>
      <c r="G196" s="823"/>
      <c r="H196" s="823"/>
      <c r="I196" s="823"/>
      <c r="J196" s="823"/>
      <c r="K196" s="536"/>
      <c r="L196" s="536"/>
      <c r="M196" s="536"/>
      <c r="N196" s="536"/>
      <c r="O196" s="536"/>
      <c r="P196" s="536"/>
      <c r="Q196" s="536"/>
      <c r="R196" s="536"/>
      <c r="S196" s="536"/>
      <c r="T196" s="536"/>
      <c r="U196" s="536"/>
      <c r="V196" s="536"/>
      <c r="W196" s="536"/>
      <c r="X196" s="536"/>
      <c r="Y196" s="641"/>
      <c r="Z196" s="641"/>
      <c r="AA196" s="641"/>
      <c r="AB196" s="641"/>
      <c r="AC196" s="536"/>
      <c r="AD196" s="536"/>
      <c r="AE196" s="608"/>
      <c r="AF196" s="608"/>
      <c r="AG196" s="608"/>
      <c r="AH196" s="608"/>
      <c r="AI196" s="608"/>
      <c r="AJ196" s="608"/>
      <c r="AK196" s="608"/>
    </row>
    <row r="197" spans="1:37" hidden="1">
      <c r="A197" s="603"/>
      <c r="B197" s="841" t="s">
        <v>1614</v>
      </c>
      <c r="C197" s="659"/>
      <c r="D197" s="823"/>
      <c r="E197" s="823"/>
      <c r="F197" s="823"/>
      <c r="G197" s="823"/>
      <c r="H197" s="823"/>
      <c r="I197" s="823"/>
      <c r="J197" s="823"/>
      <c r="K197" s="536"/>
      <c r="L197" s="536"/>
      <c r="M197" s="536"/>
      <c r="N197" s="536"/>
      <c r="O197" s="536"/>
      <c r="P197" s="536"/>
      <c r="Q197" s="536"/>
      <c r="R197" s="536"/>
      <c r="S197" s="536"/>
      <c r="T197" s="536"/>
      <c r="U197" s="536"/>
      <c r="V197" s="536"/>
      <c r="W197" s="536"/>
      <c r="X197" s="536"/>
      <c r="Y197" s="641"/>
      <c r="Z197" s="641"/>
      <c r="AA197" s="641"/>
      <c r="AB197" s="641"/>
      <c r="AC197" s="536"/>
      <c r="AD197" s="536"/>
      <c r="AE197" s="608"/>
      <c r="AF197" s="608"/>
      <c r="AG197" s="608"/>
      <c r="AH197" s="608"/>
      <c r="AI197" s="608"/>
      <c r="AJ197" s="608"/>
      <c r="AK197" s="608"/>
    </row>
    <row r="198" spans="1:37" hidden="1">
      <c r="A198" s="603"/>
      <c r="B198" s="2555"/>
      <c r="C198" s="2555"/>
      <c r="D198" s="2555"/>
      <c r="E198" s="2555"/>
      <c r="F198" s="2555"/>
      <c r="G198" s="2555"/>
      <c r="H198" s="2555"/>
      <c r="I198" s="2555"/>
      <c r="J198" s="2555"/>
      <c r="K198" s="2555"/>
      <c r="L198" s="2555"/>
      <c r="M198" s="2555"/>
      <c r="N198" s="2555"/>
      <c r="O198" s="2555"/>
      <c r="P198" s="2555"/>
      <c r="Q198" s="2555"/>
      <c r="R198" s="2555"/>
      <c r="S198" s="2555"/>
      <c r="T198" s="2555"/>
      <c r="U198" s="2555"/>
      <c r="V198" s="2555"/>
      <c r="W198" s="2555"/>
      <c r="X198" s="2555"/>
      <c r="Y198" s="2555"/>
      <c r="Z198" s="2555"/>
      <c r="AA198" s="2555"/>
      <c r="AB198" s="2555"/>
      <c r="AC198" s="842"/>
      <c r="AD198" s="2571"/>
      <c r="AE198" s="2571"/>
      <c r="AF198" s="2571"/>
      <c r="AG198" s="2571"/>
      <c r="AH198" s="2571"/>
      <c r="AI198" s="2571"/>
      <c r="AJ198" s="2571"/>
      <c r="AK198" s="608"/>
    </row>
    <row r="199" spans="1:37" hidden="1">
      <c r="A199" s="603"/>
      <c r="B199" s="2555"/>
      <c r="C199" s="2555"/>
      <c r="D199" s="2555"/>
      <c r="E199" s="2555"/>
      <c r="F199" s="2555"/>
      <c r="G199" s="2555"/>
      <c r="H199" s="2555"/>
      <c r="I199" s="2555"/>
      <c r="J199" s="2555"/>
      <c r="K199" s="2555"/>
      <c r="L199" s="2555"/>
      <c r="M199" s="2555"/>
      <c r="N199" s="2555"/>
      <c r="O199" s="2555"/>
      <c r="P199" s="2555"/>
      <c r="Q199" s="2555"/>
      <c r="R199" s="2555"/>
      <c r="S199" s="2555"/>
      <c r="T199" s="2555"/>
      <c r="U199" s="2555"/>
      <c r="V199" s="2555"/>
      <c r="W199" s="2555"/>
      <c r="X199" s="2555"/>
      <c r="Y199" s="2555"/>
      <c r="Z199" s="2555"/>
      <c r="AA199" s="2555"/>
      <c r="AB199" s="2555"/>
      <c r="AC199" s="842"/>
      <c r="AD199" s="2571"/>
      <c r="AE199" s="2571"/>
      <c r="AF199" s="2571"/>
      <c r="AG199" s="2571"/>
      <c r="AH199" s="2571"/>
      <c r="AI199" s="2571"/>
      <c r="AJ199" s="2571"/>
      <c r="AK199" s="608"/>
    </row>
    <row r="200" spans="1:37" hidden="1">
      <c r="A200" s="603"/>
      <c r="B200" s="2555"/>
      <c r="C200" s="2555"/>
      <c r="D200" s="2555"/>
      <c r="E200" s="2555"/>
      <c r="F200" s="2555"/>
      <c r="G200" s="2555"/>
      <c r="H200" s="2555"/>
      <c r="I200" s="2555"/>
      <c r="J200" s="2555"/>
      <c r="K200" s="2555"/>
      <c r="L200" s="2555"/>
      <c r="M200" s="2555"/>
      <c r="N200" s="2555"/>
      <c r="O200" s="2555"/>
      <c r="P200" s="2555"/>
      <c r="Q200" s="2555"/>
      <c r="R200" s="2555"/>
      <c r="S200" s="2555"/>
      <c r="T200" s="2555"/>
      <c r="U200" s="2555"/>
      <c r="V200" s="2555"/>
      <c r="W200" s="2555"/>
      <c r="X200" s="2555"/>
      <c r="Y200" s="2555"/>
      <c r="Z200" s="2555"/>
      <c r="AA200" s="2555"/>
      <c r="AB200" s="2555"/>
      <c r="AC200" s="842"/>
      <c r="AD200" s="2571"/>
      <c r="AE200" s="2571"/>
      <c r="AF200" s="2571"/>
      <c r="AG200" s="2571"/>
      <c r="AH200" s="2571"/>
      <c r="AI200" s="2571"/>
      <c r="AJ200" s="2571"/>
      <c r="AK200" s="608"/>
    </row>
    <row r="201" spans="1:37" hidden="1">
      <c r="A201" s="603"/>
      <c r="B201" s="2555"/>
      <c r="C201" s="2555"/>
      <c r="D201" s="2555"/>
      <c r="E201" s="2555"/>
      <c r="F201" s="2555"/>
      <c r="G201" s="2555"/>
      <c r="H201" s="2555"/>
      <c r="I201" s="2555"/>
      <c r="J201" s="2555"/>
      <c r="K201" s="2555"/>
      <c r="L201" s="2555"/>
      <c r="M201" s="2555"/>
      <c r="N201" s="2555"/>
      <c r="O201" s="2555"/>
      <c r="P201" s="2555"/>
      <c r="Q201" s="2555"/>
      <c r="R201" s="2555"/>
      <c r="S201" s="2555"/>
      <c r="T201" s="2555"/>
      <c r="U201" s="2555"/>
      <c r="V201" s="2555"/>
      <c r="W201" s="2555"/>
      <c r="X201" s="2555"/>
      <c r="Y201" s="2555"/>
      <c r="Z201" s="2555"/>
      <c r="AA201" s="2555"/>
      <c r="AB201" s="2555"/>
      <c r="AC201" s="842"/>
      <c r="AD201" s="2571"/>
      <c r="AE201" s="2571"/>
      <c r="AF201" s="2571"/>
      <c r="AG201" s="2571"/>
      <c r="AH201" s="2571"/>
      <c r="AI201" s="2571"/>
      <c r="AJ201" s="2571"/>
      <c r="AK201" s="608"/>
    </row>
    <row r="202" spans="1:37" hidden="1">
      <c r="A202" s="603"/>
      <c r="B202" s="2555"/>
      <c r="C202" s="2555"/>
      <c r="D202" s="2555"/>
      <c r="E202" s="2555"/>
      <c r="F202" s="2555"/>
      <c r="G202" s="2555"/>
      <c r="H202" s="2555"/>
      <c r="I202" s="2555"/>
      <c r="J202" s="2555"/>
      <c r="K202" s="2555"/>
      <c r="L202" s="2555"/>
      <c r="M202" s="2555"/>
      <c r="N202" s="2555"/>
      <c r="O202" s="2555"/>
      <c r="P202" s="2555"/>
      <c r="Q202" s="2555"/>
      <c r="R202" s="2555"/>
      <c r="S202" s="2555"/>
      <c r="T202" s="2555"/>
      <c r="U202" s="2555"/>
      <c r="V202" s="2555"/>
      <c r="W202" s="2555"/>
      <c r="X202" s="2555"/>
      <c r="Y202" s="2555"/>
      <c r="Z202" s="2555"/>
      <c r="AA202" s="2555"/>
      <c r="AB202" s="2555"/>
      <c r="AC202" s="842"/>
      <c r="AD202" s="2571"/>
      <c r="AE202" s="2571"/>
      <c r="AF202" s="2571"/>
      <c r="AG202" s="2571"/>
      <c r="AH202" s="2571"/>
      <c r="AI202" s="2571"/>
      <c r="AJ202" s="2571"/>
      <c r="AK202" s="608"/>
    </row>
    <row r="203" spans="1:37" hidden="1">
      <c r="A203" s="603"/>
      <c r="B203" s="2555"/>
      <c r="C203" s="2555"/>
      <c r="D203" s="2555"/>
      <c r="E203" s="2555"/>
      <c r="F203" s="2555"/>
      <c r="G203" s="2555"/>
      <c r="H203" s="2555"/>
      <c r="I203" s="2555"/>
      <c r="J203" s="2555"/>
      <c r="K203" s="2555"/>
      <c r="L203" s="2555"/>
      <c r="M203" s="2555"/>
      <c r="N203" s="2555"/>
      <c r="O203" s="2555"/>
      <c r="P203" s="2555"/>
      <c r="Q203" s="2555"/>
      <c r="R203" s="2555"/>
      <c r="S203" s="2555"/>
      <c r="T203" s="2555"/>
      <c r="U203" s="2555"/>
      <c r="V203" s="2555"/>
      <c r="W203" s="2555"/>
      <c r="X203" s="2555"/>
      <c r="Y203" s="2555"/>
      <c r="Z203" s="2555"/>
      <c r="AA203" s="2555"/>
      <c r="AB203" s="2555"/>
      <c r="AC203" s="842"/>
      <c r="AD203" s="2571"/>
      <c r="AE203" s="2571"/>
      <c r="AF203" s="2571"/>
      <c r="AG203" s="2571"/>
      <c r="AH203" s="2571"/>
      <c r="AI203" s="2571"/>
      <c r="AJ203" s="2571"/>
      <c r="AK203" s="608"/>
    </row>
    <row r="204" spans="1:37" hidden="1">
      <c r="A204" s="603"/>
      <c r="B204" s="2555"/>
      <c r="C204" s="2555"/>
      <c r="D204" s="2555"/>
      <c r="E204" s="2555"/>
      <c r="F204" s="2555"/>
      <c r="G204" s="2555"/>
      <c r="H204" s="2555"/>
      <c r="I204" s="2555"/>
      <c r="J204" s="2555"/>
      <c r="K204" s="2555"/>
      <c r="L204" s="2555"/>
      <c r="M204" s="2555"/>
      <c r="N204" s="2555"/>
      <c r="O204" s="2555"/>
      <c r="P204" s="2555"/>
      <c r="Q204" s="2555"/>
      <c r="R204" s="2555"/>
      <c r="S204" s="2555"/>
      <c r="T204" s="2555"/>
      <c r="U204" s="2555"/>
      <c r="V204" s="2555"/>
      <c r="W204" s="2555"/>
      <c r="X204" s="2555"/>
      <c r="Y204" s="2555"/>
      <c r="Z204" s="2555"/>
      <c r="AA204" s="2555"/>
      <c r="AB204" s="2555"/>
      <c r="AC204" s="842"/>
      <c r="AD204" s="2571"/>
      <c r="AE204" s="2571"/>
      <c r="AF204" s="2571"/>
      <c r="AG204" s="2571"/>
      <c r="AH204" s="2571"/>
      <c r="AI204" s="2571"/>
      <c r="AJ204" s="2571"/>
      <c r="AK204" s="608"/>
    </row>
    <row r="205" spans="1:37" hidden="1">
      <c r="A205" s="603"/>
      <c r="B205" s="2555"/>
      <c r="C205" s="2555"/>
      <c r="D205" s="2555"/>
      <c r="E205" s="2555"/>
      <c r="F205" s="2555"/>
      <c r="G205" s="2555"/>
      <c r="H205" s="2555"/>
      <c r="I205" s="2555"/>
      <c r="J205" s="2555"/>
      <c r="K205" s="2555"/>
      <c r="L205" s="2555"/>
      <c r="M205" s="2555"/>
      <c r="N205" s="2555"/>
      <c r="O205" s="2555"/>
      <c r="P205" s="2555"/>
      <c r="Q205" s="2555"/>
      <c r="R205" s="2555"/>
      <c r="S205" s="2555"/>
      <c r="T205" s="2555"/>
      <c r="U205" s="2555"/>
      <c r="V205" s="2555"/>
      <c r="W205" s="2555"/>
      <c r="X205" s="2555"/>
      <c r="Y205" s="2555"/>
      <c r="Z205" s="2555"/>
      <c r="AA205" s="2555"/>
      <c r="AB205" s="2555"/>
      <c r="AC205" s="842"/>
      <c r="AD205" s="2571"/>
      <c r="AE205" s="2571"/>
      <c r="AF205" s="2571"/>
      <c r="AG205" s="2571"/>
      <c r="AH205" s="2571"/>
      <c r="AI205" s="2571"/>
      <c r="AJ205" s="2571"/>
      <c r="AK205" s="608"/>
    </row>
    <row r="206" spans="1:37" hidden="1">
      <c r="A206" s="603"/>
      <c r="B206" s="2555"/>
      <c r="C206" s="2555"/>
      <c r="D206" s="2555"/>
      <c r="E206" s="2555"/>
      <c r="F206" s="2555"/>
      <c r="G206" s="2555"/>
      <c r="H206" s="2555"/>
      <c r="I206" s="2555"/>
      <c r="J206" s="2555"/>
      <c r="K206" s="2555"/>
      <c r="L206" s="2555"/>
      <c r="M206" s="2555"/>
      <c r="N206" s="2555"/>
      <c r="O206" s="2555"/>
      <c r="P206" s="2555"/>
      <c r="Q206" s="2555"/>
      <c r="R206" s="2555"/>
      <c r="S206" s="2555"/>
      <c r="T206" s="2555"/>
      <c r="U206" s="2555"/>
      <c r="V206" s="2555"/>
      <c r="W206" s="2555"/>
      <c r="X206" s="2555"/>
      <c r="Y206" s="2555"/>
      <c r="Z206" s="2555"/>
      <c r="AA206" s="2555"/>
      <c r="AB206" s="2555"/>
      <c r="AC206" s="842"/>
      <c r="AD206" s="2571"/>
      <c r="AE206" s="2571"/>
      <c r="AF206" s="2571"/>
      <c r="AG206" s="2571"/>
      <c r="AH206" s="2571"/>
      <c r="AI206" s="2571"/>
      <c r="AJ206" s="2571"/>
      <c r="AK206" s="608"/>
    </row>
    <row r="207" spans="1:37" hidden="1">
      <c r="A207" s="603"/>
      <c r="B207" s="2555"/>
      <c r="C207" s="2555"/>
      <c r="D207" s="2555"/>
      <c r="E207" s="2555"/>
      <c r="F207" s="2555"/>
      <c r="G207" s="2555"/>
      <c r="H207" s="2555"/>
      <c r="I207" s="2555"/>
      <c r="J207" s="2555"/>
      <c r="K207" s="2555"/>
      <c r="L207" s="2555"/>
      <c r="M207" s="2555"/>
      <c r="N207" s="2555"/>
      <c r="O207" s="2555"/>
      <c r="P207" s="2555"/>
      <c r="Q207" s="2555"/>
      <c r="R207" s="2555"/>
      <c r="S207" s="2555"/>
      <c r="T207" s="2555"/>
      <c r="U207" s="2555"/>
      <c r="V207" s="2555"/>
      <c r="W207" s="2555"/>
      <c r="X207" s="2555"/>
      <c r="Y207" s="2555"/>
      <c r="Z207" s="2555"/>
      <c r="AA207" s="2555"/>
      <c r="AB207" s="2555"/>
      <c r="AC207" s="842"/>
      <c r="AD207" s="2571"/>
      <c r="AE207" s="2571"/>
      <c r="AF207" s="2571"/>
      <c r="AG207" s="2571"/>
      <c r="AH207" s="2571"/>
      <c r="AI207" s="2571"/>
      <c r="AJ207" s="2571"/>
      <c r="AK207" s="608"/>
    </row>
    <row r="208" spans="1:37" hidden="1">
      <c r="A208" s="603"/>
      <c r="B208" s="2564" t="s">
        <v>1616</v>
      </c>
      <c r="C208" s="2564"/>
      <c r="D208" s="2564"/>
      <c r="E208" s="2564"/>
      <c r="F208" s="2564"/>
      <c r="G208" s="2564"/>
      <c r="H208" s="2564"/>
      <c r="I208" s="2564"/>
      <c r="J208" s="2564"/>
      <c r="K208" s="2564"/>
      <c r="L208" s="2564"/>
      <c r="M208" s="2564"/>
      <c r="N208" s="2564"/>
      <c r="O208" s="2564"/>
      <c r="P208" s="2564"/>
      <c r="Q208" s="2564"/>
      <c r="R208" s="2564"/>
      <c r="S208" s="2564"/>
      <c r="T208" s="2564"/>
      <c r="U208" s="2564"/>
      <c r="V208" s="2564"/>
      <c r="W208" s="2564"/>
      <c r="X208" s="2564"/>
      <c r="Y208" s="2564"/>
      <c r="Z208" s="2564"/>
      <c r="AA208" s="2564"/>
      <c r="AB208" s="2564"/>
      <c r="AC208" s="536"/>
      <c r="AD208" s="2569">
        <f>AB259</f>
        <v>0</v>
      </c>
      <c r="AE208" s="2569"/>
      <c r="AF208" s="2569"/>
      <c r="AG208" s="2569"/>
      <c r="AH208" s="2569"/>
      <c r="AI208" s="2569"/>
      <c r="AJ208" s="2569"/>
      <c r="AK208" s="608"/>
    </row>
    <row r="209" spans="1:37" hidden="1">
      <c r="A209" s="603"/>
      <c r="B209" s="2410" t="s">
        <v>1579</v>
      </c>
      <c r="C209" s="2410"/>
      <c r="D209" s="2410"/>
      <c r="E209" s="2410"/>
      <c r="F209" s="2410"/>
      <c r="G209" s="2410"/>
      <c r="H209" s="2410"/>
      <c r="I209" s="2410"/>
      <c r="J209" s="2410"/>
      <c r="K209" s="2410"/>
      <c r="L209" s="2410"/>
      <c r="M209" s="2410"/>
      <c r="N209" s="2410"/>
      <c r="O209" s="2410"/>
      <c r="P209" s="2410"/>
      <c r="Q209" s="2410"/>
      <c r="R209" s="2410"/>
      <c r="S209" s="2410"/>
      <c r="T209" s="2410"/>
      <c r="U209" s="2410"/>
      <c r="V209" s="2410"/>
      <c r="W209" s="2410"/>
      <c r="X209" s="2410"/>
      <c r="Y209" s="2410"/>
      <c r="Z209" s="2410"/>
      <c r="AA209" s="2410"/>
      <c r="AB209" s="2410"/>
      <c r="AC209" s="842"/>
      <c r="AD209" s="2570">
        <f>'Sources and Uses Budget'!B15</f>
        <v>0</v>
      </c>
      <c r="AE209" s="2570"/>
      <c r="AF209" s="2570"/>
      <c r="AG209" s="2570"/>
      <c r="AH209" s="2570"/>
      <c r="AI209" s="2570"/>
      <c r="AJ209" s="2570"/>
      <c r="AK209" s="608"/>
    </row>
    <row r="210" spans="1:37" hidden="1">
      <c r="A210" s="603"/>
      <c r="B210" s="447"/>
      <c r="C210" s="447"/>
      <c r="D210" s="447"/>
      <c r="E210" s="447"/>
      <c r="F210" s="447"/>
      <c r="G210" s="447"/>
      <c r="H210" s="447"/>
      <c r="I210" s="447"/>
      <c r="J210" s="447"/>
      <c r="K210" s="447"/>
      <c r="L210" s="447"/>
      <c r="M210" s="447"/>
      <c r="N210" s="447"/>
      <c r="O210" s="447"/>
      <c r="P210" s="447"/>
      <c r="Q210" s="447"/>
      <c r="R210" s="447"/>
      <c r="S210" s="447"/>
      <c r="T210" s="447"/>
      <c r="U210" s="447"/>
      <c r="V210" s="447"/>
      <c r="W210" s="447"/>
      <c r="X210" s="447"/>
      <c r="Y210" s="447"/>
      <c r="Z210" s="447"/>
      <c r="AA210" s="447"/>
      <c r="AB210" s="621" t="s">
        <v>899</v>
      </c>
      <c r="AC210" s="536"/>
      <c r="AD210" s="2575">
        <f>SUM(AD198:AJ208)-AD209</f>
        <v>0</v>
      </c>
      <c r="AE210" s="2575"/>
      <c r="AF210" s="2575"/>
      <c r="AG210" s="2575"/>
      <c r="AH210" s="2575"/>
      <c r="AI210" s="2575"/>
      <c r="AJ210" s="2575"/>
      <c r="AK210" s="608"/>
    </row>
    <row r="211" spans="1:37" hidden="1">
      <c r="A211" s="603"/>
      <c r="B211" s="603"/>
      <c r="C211" s="659"/>
      <c r="D211" s="823"/>
      <c r="E211" s="823"/>
      <c r="F211" s="823"/>
      <c r="G211" s="823"/>
      <c r="H211" s="823"/>
      <c r="I211" s="823"/>
      <c r="J211" s="823"/>
      <c r="K211" s="536"/>
      <c r="L211" s="536"/>
      <c r="M211" s="536"/>
      <c r="N211" s="536"/>
      <c r="O211" s="536"/>
      <c r="P211" s="536"/>
      <c r="Q211" s="536"/>
      <c r="R211" s="536"/>
      <c r="S211" s="536"/>
      <c r="T211" s="536"/>
      <c r="U211" s="536"/>
      <c r="V211" s="536"/>
      <c r="W211" s="536"/>
      <c r="X211" s="536"/>
      <c r="Y211" s="641"/>
      <c r="Z211" s="641"/>
      <c r="AA211" s="641"/>
      <c r="AB211" s="641"/>
      <c r="AC211" s="536"/>
      <c r="AD211" s="536"/>
      <c r="AE211" s="608"/>
      <c r="AF211" s="608"/>
      <c r="AG211" s="608"/>
      <c r="AH211" s="608"/>
      <c r="AI211" s="608"/>
      <c r="AJ211" s="608"/>
      <c r="AK211" s="608"/>
    </row>
    <row r="212" spans="1:37" hidden="1">
      <c r="A212" s="603"/>
      <c r="B212" s="498" t="s">
        <v>1584</v>
      </c>
      <c r="C212" s="659"/>
      <c r="D212" s="823"/>
      <c r="E212" s="823"/>
      <c r="F212" s="823"/>
      <c r="G212" s="823"/>
      <c r="H212" s="823"/>
      <c r="I212" s="823"/>
      <c r="J212" s="823"/>
      <c r="K212" s="536"/>
      <c r="L212" s="536"/>
      <c r="M212" s="536"/>
      <c r="N212" s="536"/>
      <c r="O212" s="536"/>
      <c r="P212" s="536"/>
      <c r="Q212" s="536"/>
      <c r="R212" s="536"/>
      <c r="S212" s="536"/>
      <c r="T212" s="536"/>
      <c r="U212" s="536"/>
      <c r="V212" s="536"/>
      <c r="W212" s="536"/>
      <c r="X212" s="536"/>
      <c r="Y212" s="641"/>
      <c r="Z212" s="641"/>
      <c r="AA212" s="641"/>
      <c r="AB212" s="641"/>
      <c r="AC212" s="536"/>
      <c r="AD212" s="536"/>
      <c r="AE212" s="608"/>
      <c r="AF212" s="608"/>
      <c r="AG212" s="608"/>
      <c r="AH212" s="608"/>
      <c r="AI212" s="608"/>
      <c r="AJ212" s="608"/>
      <c r="AK212" s="608"/>
    </row>
    <row r="213" spans="1:37" hidden="1">
      <c r="A213" s="603"/>
      <c r="B213" s="476" t="s">
        <v>1615</v>
      </c>
      <c r="C213" s="659"/>
      <c r="D213" s="823"/>
      <c r="E213" s="823"/>
      <c r="F213" s="823"/>
      <c r="G213" s="823"/>
      <c r="H213" s="823"/>
      <c r="I213" s="823"/>
      <c r="J213" s="823"/>
      <c r="K213" s="536"/>
      <c r="L213" s="536"/>
      <c r="M213" s="536"/>
      <c r="N213" s="536"/>
      <c r="O213" s="536"/>
      <c r="P213" s="536"/>
      <c r="Q213" s="536"/>
      <c r="R213" s="536"/>
      <c r="S213" s="536"/>
      <c r="T213" s="536"/>
      <c r="U213" s="536"/>
      <c r="V213" s="536"/>
      <c r="W213" s="536"/>
      <c r="X213" s="536"/>
      <c r="Y213" s="641"/>
      <c r="Z213" s="641"/>
      <c r="AA213" s="641"/>
      <c r="AB213" s="641"/>
      <c r="AC213" s="536"/>
      <c r="AD213" s="536"/>
      <c r="AE213" s="608"/>
      <c r="AF213" s="608"/>
      <c r="AG213" s="608"/>
      <c r="AH213" s="608"/>
      <c r="AI213" s="608"/>
      <c r="AJ213" s="608"/>
      <c r="AK213" s="608"/>
    </row>
    <row r="214" spans="1:37" hidden="1">
      <c r="A214" s="850"/>
      <c r="B214" s="873" t="s">
        <v>1586</v>
      </c>
      <c r="C214" s="874"/>
      <c r="D214" s="875"/>
      <c r="E214" s="875"/>
      <c r="F214" s="875"/>
      <c r="G214" s="875"/>
      <c r="H214" s="875"/>
      <c r="I214" s="875"/>
      <c r="J214" s="875"/>
      <c r="K214" s="876"/>
      <c r="L214" s="876"/>
      <c r="M214" s="876"/>
      <c r="N214" s="876"/>
      <c r="O214" s="876"/>
      <c r="P214" s="876"/>
      <c r="Q214" s="876"/>
      <c r="R214" s="876"/>
      <c r="S214" s="740"/>
      <c r="T214" s="740"/>
      <c r="U214" s="740"/>
      <c r="V214" s="740"/>
      <c r="W214" s="740"/>
      <c r="X214" s="740"/>
      <c r="Y214" s="824"/>
      <c r="Z214" s="824"/>
      <c r="AA214" s="824"/>
      <c r="AB214" s="824"/>
      <c r="AC214" s="740"/>
      <c r="AD214" s="740"/>
      <c r="AE214" s="825"/>
      <c r="AF214" s="825"/>
      <c r="AG214" s="825"/>
      <c r="AH214" s="825"/>
      <c r="AI214" s="825"/>
      <c r="AJ214" s="826"/>
      <c r="AK214" s="608"/>
    </row>
    <row r="215" spans="1:37" hidden="1">
      <c r="A215" s="850"/>
      <c r="B215" s="877" t="s">
        <v>1587</v>
      </c>
      <c r="C215" s="878"/>
      <c r="D215" s="879"/>
      <c r="E215" s="879"/>
      <c r="F215" s="879"/>
      <c r="G215" s="879"/>
      <c r="H215" s="879"/>
      <c r="I215" s="879"/>
      <c r="J215" s="879"/>
      <c r="K215" s="880"/>
      <c r="L215" s="880"/>
      <c r="M215" s="880"/>
      <c r="N215" s="880"/>
      <c r="O215" s="880"/>
      <c r="P215" s="880"/>
      <c r="Q215" s="880"/>
      <c r="R215" s="880"/>
      <c r="S215" s="536"/>
      <c r="T215" s="536"/>
      <c r="U215" s="536"/>
      <c r="V215" s="536"/>
      <c r="W215" s="536"/>
      <c r="X215" s="536"/>
      <c r="Y215" s="641"/>
      <c r="Z215" s="641"/>
      <c r="AA215" s="641"/>
      <c r="AB215" s="641"/>
      <c r="AC215" s="536"/>
      <c r="AD215" s="536"/>
      <c r="AE215" s="608"/>
      <c r="AF215" s="608"/>
      <c r="AG215" s="608"/>
      <c r="AH215" s="608"/>
      <c r="AI215" s="608"/>
      <c r="AJ215" s="827"/>
      <c r="AK215" s="608"/>
    </row>
    <row r="216" spans="1:37" hidden="1">
      <c r="A216" s="850"/>
      <c r="B216" s="877" t="s">
        <v>1985</v>
      </c>
      <c r="C216" s="878"/>
      <c r="D216" s="879"/>
      <c r="E216" s="879"/>
      <c r="F216" s="879"/>
      <c r="G216" s="879"/>
      <c r="H216" s="879"/>
      <c r="I216" s="879"/>
      <c r="J216" s="879"/>
      <c r="K216" s="880"/>
      <c r="L216" s="880"/>
      <c r="M216" s="880"/>
      <c r="N216" s="880"/>
      <c r="O216" s="880"/>
      <c r="P216" s="880"/>
      <c r="Q216" s="880"/>
      <c r="R216" s="880"/>
      <c r="S216" s="536"/>
      <c r="T216" s="536"/>
      <c r="U216" s="536"/>
      <c r="V216" s="536"/>
      <c r="W216" s="536"/>
      <c r="X216" s="536"/>
      <c r="Y216" s="641"/>
      <c r="Z216" s="641"/>
      <c r="AA216" s="641"/>
      <c r="AB216" s="641"/>
      <c r="AC216" s="536"/>
      <c r="AD216" s="536"/>
      <c r="AE216" s="608"/>
      <c r="AF216" s="608"/>
      <c r="AG216" s="608"/>
      <c r="AH216" s="608"/>
      <c r="AI216" s="608"/>
      <c r="AJ216" s="827"/>
      <c r="AK216" s="608"/>
    </row>
    <row r="217" spans="1:37" hidden="1">
      <c r="A217" s="850"/>
      <c r="B217" s="877" t="s">
        <v>1588</v>
      </c>
      <c r="C217" s="878"/>
      <c r="D217" s="879"/>
      <c r="E217" s="879"/>
      <c r="F217" s="879"/>
      <c r="G217" s="879"/>
      <c r="H217" s="879"/>
      <c r="I217" s="879"/>
      <c r="J217" s="879"/>
      <c r="K217" s="880"/>
      <c r="L217" s="880"/>
      <c r="M217" s="880"/>
      <c r="N217" s="880"/>
      <c r="O217" s="880"/>
      <c r="P217" s="880"/>
      <c r="Q217" s="880"/>
      <c r="R217" s="880"/>
      <c r="S217" s="536"/>
      <c r="T217" s="536"/>
      <c r="U217" s="536"/>
      <c r="V217" s="536"/>
      <c r="W217" s="536"/>
      <c r="X217" s="536"/>
      <c r="Y217" s="641"/>
      <c r="Z217" s="641"/>
      <c r="AA217" s="641"/>
      <c r="AB217" s="641"/>
      <c r="AC217" s="536"/>
      <c r="AD217" s="536"/>
      <c r="AE217" s="608"/>
      <c r="AF217" s="608"/>
      <c r="AG217" s="608"/>
      <c r="AH217" s="608"/>
      <c r="AI217" s="608"/>
      <c r="AJ217" s="827"/>
      <c r="AK217" s="608"/>
    </row>
    <row r="218" spans="1:37" hidden="1">
      <c r="A218" s="850"/>
      <c r="B218" s="881" t="s">
        <v>1589</v>
      </c>
      <c r="C218" s="878"/>
      <c r="D218" s="879"/>
      <c r="E218" s="879"/>
      <c r="F218" s="879"/>
      <c r="G218" s="879"/>
      <c r="H218" s="879"/>
      <c r="I218" s="879"/>
      <c r="J218" s="879"/>
      <c r="K218" s="880"/>
      <c r="L218" s="880"/>
      <c r="M218" s="880"/>
      <c r="N218" s="880"/>
      <c r="O218" s="880"/>
      <c r="P218" s="880"/>
      <c r="Q218" s="880"/>
      <c r="R218" s="880"/>
      <c r="S218" s="536"/>
      <c r="T218" s="536"/>
      <c r="U218" s="536"/>
      <c r="V218" s="536"/>
      <c r="W218" s="536"/>
      <c r="X218" s="536"/>
      <c r="Y218" s="641"/>
      <c r="Z218" s="641"/>
      <c r="AA218" s="641"/>
      <c r="AB218" s="641"/>
      <c r="AC218" s="536"/>
      <c r="AD218" s="536"/>
      <c r="AE218" s="608"/>
      <c r="AF218" s="608"/>
      <c r="AG218" s="608"/>
      <c r="AH218" s="608"/>
      <c r="AI218" s="608"/>
      <c r="AJ218" s="827"/>
      <c r="AK218" s="608"/>
    </row>
    <row r="219" spans="1:37" hidden="1">
      <c r="A219" s="850"/>
      <c r="B219" s="882" t="s">
        <v>1625</v>
      </c>
      <c r="C219" s="883"/>
      <c r="D219" s="884"/>
      <c r="E219" s="884"/>
      <c r="F219" s="884"/>
      <c r="G219" s="884"/>
      <c r="H219" s="884"/>
      <c r="I219" s="884"/>
      <c r="J219" s="884"/>
      <c r="K219" s="885"/>
      <c r="L219" s="885"/>
      <c r="M219" s="885"/>
      <c r="N219" s="885"/>
      <c r="O219" s="885"/>
      <c r="P219" s="885"/>
      <c r="Q219" s="885"/>
      <c r="R219" s="885"/>
      <c r="S219" s="733"/>
      <c r="T219" s="733"/>
      <c r="U219" s="733"/>
      <c r="V219" s="733"/>
      <c r="W219" s="733"/>
      <c r="X219" s="733"/>
      <c r="Y219" s="828"/>
      <c r="Z219" s="828"/>
      <c r="AA219" s="828"/>
      <c r="AB219" s="828"/>
      <c r="AC219" s="733"/>
      <c r="AD219" s="733"/>
      <c r="AE219" s="829"/>
      <c r="AF219" s="829"/>
      <c r="AG219" s="829"/>
      <c r="AH219" s="829"/>
      <c r="AI219" s="829"/>
      <c r="AJ219" s="830"/>
      <c r="AK219" s="608"/>
    </row>
    <row r="220" spans="1:37" hidden="1">
      <c r="A220" s="603"/>
      <c r="B220" s="603"/>
      <c r="C220" s="659"/>
      <c r="D220" s="823"/>
      <c r="E220" s="823"/>
      <c r="F220" s="823"/>
      <c r="G220" s="823"/>
      <c r="H220" s="823"/>
      <c r="I220" s="823"/>
      <c r="J220" s="823"/>
      <c r="K220" s="536"/>
      <c r="L220" s="536"/>
      <c r="M220" s="536"/>
      <c r="N220" s="536"/>
      <c r="O220" s="536"/>
      <c r="P220" s="536"/>
      <c r="Q220" s="536"/>
      <c r="R220" s="536"/>
      <c r="S220" s="536"/>
      <c r="T220" s="536"/>
      <c r="U220" s="536"/>
      <c r="V220" s="536"/>
      <c r="W220" s="536"/>
      <c r="X220" s="536"/>
      <c r="Y220" s="641"/>
      <c r="Z220" s="641"/>
      <c r="AA220" s="641"/>
      <c r="AB220" s="641"/>
      <c r="AC220" s="536"/>
      <c r="AD220" s="536"/>
      <c r="AE220" s="608"/>
      <c r="AF220" s="608"/>
      <c r="AG220" s="608"/>
      <c r="AH220" s="608"/>
      <c r="AI220" s="608"/>
      <c r="AJ220" s="608"/>
      <c r="AK220" s="608"/>
    </row>
    <row r="221" spans="1:37" hidden="1">
      <c r="A221" s="603"/>
      <c r="B221" s="844"/>
      <c r="C221" s="476"/>
      <c r="D221" s="476"/>
      <c r="I221" s="2598" t="s">
        <v>1596</v>
      </c>
      <c r="J221" s="2598"/>
      <c r="K221" s="2598"/>
      <c r="L221" s="536"/>
      <c r="M221" s="536"/>
      <c r="N221" s="536"/>
      <c r="O221" s="536"/>
      <c r="P221" s="536"/>
      <c r="Q221" s="536"/>
      <c r="R221" s="536"/>
      <c r="S221" s="536"/>
      <c r="T221" s="2424" t="s">
        <v>1590</v>
      </c>
      <c r="U221" s="2424"/>
      <c r="V221" s="2424"/>
      <c r="W221" s="2424"/>
      <c r="X221" s="2424"/>
      <c r="Y221" s="2424"/>
      <c r="Z221" s="845"/>
      <c r="AA221" s="489"/>
      <c r="AB221" s="2588" t="s">
        <v>1591</v>
      </c>
      <c r="AC221" s="2588"/>
      <c r="AD221" s="2588"/>
      <c r="AE221" s="2588"/>
      <c r="AF221" s="2588"/>
      <c r="AG221" s="2588"/>
      <c r="AH221" s="823"/>
      <c r="AI221" s="823"/>
      <c r="AJ221" s="823"/>
      <c r="AK221" s="608"/>
    </row>
    <row r="222" spans="1:37" hidden="1">
      <c r="A222" s="603"/>
      <c r="B222" s="2596" t="s">
        <v>1576</v>
      </c>
      <c r="C222" s="2596"/>
      <c r="D222" s="2596"/>
      <c r="E222" s="2596"/>
      <c r="F222" s="2596"/>
      <c r="G222" s="2596"/>
      <c r="I222" s="2597" t="s">
        <v>1597</v>
      </c>
      <c r="J222" s="2597"/>
      <c r="K222" s="2597"/>
      <c r="L222" s="1003"/>
      <c r="N222" s="2411" t="s">
        <v>1592</v>
      </c>
      <c r="O222" s="2411"/>
      <c r="P222" s="2411"/>
      <c r="Q222" s="2411"/>
      <c r="R222" s="2411"/>
      <c r="T222" s="2411" t="s">
        <v>1593</v>
      </c>
      <c r="U222" s="2411"/>
      <c r="V222" s="2411"/>
      <c r="W222" s="2411"/>
      <c r="X222" s="2411"/>
      <c r="Y222" s="2411"/>
      <c r="Z222" s="846"/>
      <c r="AA222" s="489"/>
      <c r="AB222" s="2467" t="s">
        <v>1594</v>
      </c>
      <c r="AC222" s="2467"/>
      <c r="AD222" s="2467"/>
      <c r="AE222" s="2467"/>
      <c r="AF222" s="2467"/>
      <c r="AG222" s="2467"/>
      <c r="AH222" s="823"/>
      <c r="AI222" s="823"/>
      <c r="AJ222" s="823"/>
      <c r="AK222" s="608"/>
    </row>
    <row r="223" spans="1:37" hidden="1">
      <c r="A223" s="603"/>
      <c r="B223" s="2468" t="s">
        <v>1184</v>
      </c>
      <c r="C223" s="2468"/>
      <c r="D223" s="2468"/>
      <c r="E223" s="2468"/>
      <c r="F223" s="2468"/>
      <c r="G223" s="2468"/>
      <c r="H223" s="848"/>
      <c r="I223" s="2427"/>
      <c r="J223" s="2427"/>
      <c r="K223" s="2427"/>
      <c r="L223" s="1003"/>
      <c r="N223" s="2425"/>
      <c r="O223" s="2425"/>
      <c r="P223" s="2425"/>
      <c r="Q223" s="2425"/>
      <c r="R223" s="2425"/>
      <c r="T223" s="2407"/>
      <c r="U223" s="2407"/>
      <c r="V223" s="2407"/>
      <c r="W223" s="2407"/>
      <c r="X223" s="2407"/>
      <c r="Y223" s="2407"/>
      <c r="Z223" s="847"/>
      <c r="AA223" s="847"/>
      <c r="AB223" s="2405">
        <f t="shared" ref="AB223:AB232" si="0">MAX(($T223-$N223)*$I223*12,0)</f>
        <v>0</v>
      </c>
      <c r="AC223" s="2405"/>
      <c r="AD223" s="2405"/>
      <c r="AE223" s="2405"/>
      <c r="AF223" s="2405"/>
      <c r="AG223" s="2405"/>
      <c r="AH223" s="823"/>
      <c r="AI223" s="823"/>
      <c r="AJ223" s="823"/>
      <c r="AK223" s="608"/>
    </row>
    <row r="224" spans="1:37" hidden="1">
      <c r="A224" s="603"/>
      <c r="B224" s="2468" t="s">
        <v>1184</v>
      </c>
      <c r="C224" s="2468"/>
      <c r="D224" s="2468"/>
      <c r="E224" s="2468"/>
      <c r="F224" s="2468"/>
      <c r="G224" s="2468"/>
      <c r="I224" s="2427"/>
      <c r="J224" s="2427"/>
      <c r="K224" s="2427"/>
      <c r="L224" s="1003"/>
      <c r="N224" s="2425"/>
      <c r="O224" s="2425"/>
      <c r="P224" s="2425"/>
      <c r="Q224" s="2425"/>
      <c r="R224" s="2425"/>
      <c r="T224" s="2407"/>
      <c r="U224" s="2407"/>
      <c r="V224" s="2407"/>
      <c r="W224" s="2407"/>
      <c r="X224" s="2407"/>
      <c r="Y224" s="2407"/>
      <c r="Z224" s="847"/>
      <c r="AA224" s="847"/>
      <c r="AB224" s="2405">
        <f t="shared" si="0"/>
        <v>0</v>
      </c>
      <c r="AC224" s="2405"/>
      <c r="AD224" s="2405"/>
      <c r="AE224" s="2405"/>
      <c r="AF224" s="2405"/>
      <c r="AG224" s="2405"/>
      <c r="AH224" s="823"/>
      <c r="AI224" s="823"/>
      <c r="AJ224" s="823"/>
      <c r="AK224" s="608"/>
    </row>
    <row r="225" spans="1:37" hidden="1">
      <c r="A225" s="603"/>
      <c r="B225" s="2468" t="s">
        <v>1184</v>
      </c>
      <c r="C225" s="2468"/>
      <c r="D225" s="2468"/>
      <c r="E225" s="2468"/>
      <c r="F225" s="2468"/>
      <c r="G225" s="2468"/>
      <c r="I225" s="2427"/>
      <c r="J225" s="2427"/>
      <c r="K225" s="2427"/>
      <c r="L225" s="1003"/>
      <c r="N225" s="2425"/>
      <c r="O225" s="2425"/>
      <c r="P225" s="2425"/>
      <c r="Q225" s="2425"/>
      <c r="R225" s="2425"/>
      <c r="T225" s="2407"/>
      <c r="U225" s="2407"/>
      <c r="V225" s="2407"/>
      <c r="W225" s="2407"/>
      <c r="X225" s="2407"/>
      <c r="Y225" s="2407"/>
      <c r="Z225" s="847"/>
      <c r="AA225" s="847"/>
      <c r="AB225" s="2405">
        <f t="shared" si="0"/>
        <v>0</v>
      </c>
      <c r="AC225" s="2405"/>
      <c r="AD225" s="2405"/>
      <c r="AE225" s="2405"/>
      <c r="AF225" s="2405"/>
      <c r="AG225" s="2405"/>
      <c r="AH225" s="823"/>
      <c r="AI225" s="823"/>
      <c r="AJ225" s="823"/>
      <c r="AK225" s="608"/>
    </row>
    <row r="226" spans="1:37" hidden="1">
      <c r="A226" s="603"/>
      <c r="B226" s="2468" t="s">
        <v>1184</v>
      </c>
      <c r="C226" s="2468"/>
      <c r="D226" s="2468"/>
      <c r="E226" s="2468"/>
      <c r="F226" s="2468"/>
      <c r="G226" s="2468"/>
      <c r="I226" s="2427"/>
      <c r="J226" s="2427"/>
      <c r="K226" s="2427"/>
      <c r="L226" s="1003"/>
      <c r="N226" s="2425"/>
      <c r="O226" s="2425"/>
      <c r="P226" s="2425"/>
      <c r="Q226" s="2425"/>
      <c r="R226" s="2425"/>
      <c r="T226" s="2407"/>
      <c r="U226" s="2407"/>
      <c r="V226" s="2407"/>
      <c r="W226" s="2407"/>
      <c r="X226" s="2407"/>
      <c r="Y226" s="2407"/>
      <c r="Z226" s="847"/>
      <c r="AA226" s="847"/>
      <c r="AB226" s="2405">
        <f t="shared" si="0"/>
        <v>0</v>
      </c>
      <c r="AC226" s="2405"/>
      <c r="AD226" s="2405"/>
      <c r="AE226" s="2405"/>
      <c r="AF226" s="2405"/>
      <c r="AG226" s="2405"/>
      <c r="AH226" s="823"/>
      <c r="AI226" s="823"/>
      <c r="AJ226" s="823"/>
      <c r="AK226" s="608"/>
    </row>
    <row r="227" spans="1:37" hidden="1">
      <c r="A227" s="603"/>
      <c r="B227" s="2468" t="s">
        <v>1184</v>
      </c>
      <c r="C227" s="2468"/>
      <c r="D227" s="2468"/>
      <c r="E227" s="2468"/>
      <c r="F227" s="2468"/>
      <c r="G227" s="2468"/>
      <c r="I227" s="2427"/>
      <c r="J227" s="2427"/>
      <c r="K227" s="2427"/>
      <c r="L227" s="1010"/>
      <c r="N227" s="2425"/>
      <c r="O227" s="2425"/>
      <c r="P227" s="2425"/>
      <c r="Q227" s="2425"/>
      <c r="R227" s="2425"/>
      <c r="T227" s="2407"/>
      <c r="U227" s="2407"/>
      <c r="V227" s="2407"/>
      <c r="W227" s="2407"/>
      <c r="X227" s="2407"/>
      <c r="Y227" s="2407"/>
      <c r="Z227" s="847"/>
      <c r="AA227" s="847"/>
      <c r="AB227" s="2405">
        <f t="shared" si="0"/>
        <v>0</v>
      </c>
      <c r="AC227" s="2405"/>
      <c r="AD227" s="2405"/>
      <c r="AE227" s="2405"/>
      <c r="AF227" s="2405"/>
      <c r="AG227" s="2405"/>
      <c r="AH227" s="823"/>
      <c r="AI227" s="823"/>
      <c r="AJ227" s="823"/>
      <c r="AK227" s="608"/>
    </row>
    <row r="228" spans="1:37" hidden="1">
      <c r="A228" s="603"/>
      <c r="B228" s="2468" t="s">
        <v>1184</v>
      </c>
      <c r="C228" s="2468"/>
      <c r="D228" s="2468"/>
      <c r="E228" s="2468"/>
      <c r="F228" s="2468"/>
      <c r="G228" s="2468"/>
      <c r="I228" s="2427"/>
      <c r="J228" s="2427"/>
      <c r="K228" s="2427"/>
      <c r="L228" s="1010"/>
      <c r="N228" s="2425"/>
      <c r="O228" s="2425"/>
      <c r="P228" s="2425"/>
      <c r="Q228" s="2425"/>
      <c r="R228" s="2425"/>
      <c r="T228" s="2407"/>
      <c r="U228" s="2407"/>
      <c r="V228" s="2407"/>
      <c r="W228" s="2407"/>
      <c r="X228" s="2407"/>
      <c r="Y228" s="2407"/>
      <c r="Z228" s="847"/>
      <c r="AA228" s="847"/>
      <c r="AB228" s="2405">
        <f t="shared" si="0"/>
        <v>0</v>
      </c>
      <c r="AC228" s="2405"/>
      <c r="AD228" s="2405"/>
      <c r="AE228" s="2405"/>
      <c r="AF228" s="2405"/>
      <c r="AG228" s="2405"/>
      <c r="AH228" s="823"/>
      <c r="AI228" s="823"/>
      <c r="AJ228" s="823"/>
      <c r="AK228" s="608"/>
    </row>
    <row r="229" spans="1:37" hidden="1">
      <c r="A229" s="603"/>
      <c r="B229" s="2468" t="s">
        <v>1184</v>
      </c>
      <c r="C229" s="2468"/>
      <c r="D229" s="2468"/>
      <c r="E229" s="2468"/>
      <c r="F229" s="2468"/>
      <c r="G229" s="2468"/>
      <c r="I229" s="2427"/>
      <c r="J229" s="2427"/>
      <c r="K229" s="2427"/>
      <c r="L229" s="1010"/>
      <c r="N229" s="2425"/>
      <c r="O229" s="2425"/>
      <c r="P229" s="2425"/>
      <c r="Q229" s="2425"/>
      <c r="R229" s="2425"/>
      <c r="T229" s="2407"/>
      <c r="U229" s="2407"/>
      <c r="V229" s="2407"/>
      <c r="W229" s="2407"/>
      <c r="X229" s="2407"/>
      <c r="Y229" s="2407"/>
      <c r="Z229" s="847"/>
      <c r="AA229" s="847"/>
      <c r="AB229" s="2405">
        <f t="shared" si="0"/>
        <v>0</v>
      </c>
      <c r="AC229" s="2405"/>
      <c r="AD229" s="2405"/>
      <c r="AE229" s="2405"/>
      <c r="AF229" s="2405"/>
      <c r="AG229" s="2405"/>
      <c r="AH229" s="823"/>
      <c r="AI229" s="823"/>
      <c r="AJ229" s="823"/>
      <c r="AK229" s="608"/>
    </row>
    <row r="230" spans="1:37" hidden="1">
      <c r="A230" s="603"/>
      <c r="B230" s="2468" t="s">
        <v>1184</v>
      </c>
      <c r="C230" s="2468"/>
      <c r="D230" s="2468"/>
      <c r="E230" s="2468"/>
      <c r="F230" s="2468"/>
      <c r="G230" s="2468"/>
      <c r="I230" s="2427"/>
      <c r="J230" s="2427"/>
      <c r="K230" s="2427"/>
      <c r="L230" s="1010"/>
      <c r="N230" s="2425"/>
      <c r="O230" s="2425"/>
      <c r="P230" s="2425"/>
      <c r="Q230" s="2425"/>
      <c r="R230" s="2425"/>
      <c r="T230" s="2407"/>
      <c r="U230" s="2407"/>
      <c r="V230" s="2407"/>
      <c r="W230" s="2407"/>
      <c r="X230" s="2407"/>
      <c r="Y230" s="2407"/>
      <c r="Z230" s="847"/>
      <c r="AA230" s="847"/>
      <c r="AB230" s="2405">
        <f t="shared" si="0"/>
        <v>0</v>
      </c>
      <c r="AC230" s="2405"/>
      <c r="AD230" s="2405"/>
      <c r="AE230" s="2405"/>
      <c r="AF230" s="2405"/>
      <c r="AG230" s="2405"/>
      <c r="AH230" s="823"/>
      <c r="AI230" s="823"/>
      <c r="AJ230" s="823"/>
      <c r="AK230" s="608"/>
    </row>
    <row r="231" spans="1:37" hidden="1">
      <c r="A231" s="603"/>
      <c r="B231" s="2468" t="s">
        <v>1184</v>
      </c>
      <c r="C231" s="2468"/>
      <c r="D231" s="2468"/>
      <c r="E231" s="2468"/>
      <c r="F231" s="2468"/>
      <c r="G231" s="2468"/>
      <c r="I231" s="2427"/>
      <c r="J231" s="2427"/>
      <c r="K231" s="2427"/>
      <c r="L231" s="1010"/>
      <c r="N231" s="2425"/>
      <c r="O231" s="2425"/>
      <c r="P231" s="2425"/>
      <c r="Q231" s="2425"/>
      <c r="R231" s="2425"/>
      <c r="T231" s="2407"/>
      <c r="U231" s="2407"/>
      <c r="V231" s="2407"/>
      <c r="W231" s="2407"/>
      <c r="X231" s="2407"/>
      <c r="Y231" s="2407"/>
      <c r="Z231" s="847"/>
      <c r="AA231" s="847"/>
      <c r="AB231" s="2405">
        <f t="shared" si="0"/>
        <v>0</v>
      </c>
      <c r="AC231" s="2405"/>
      <c r="AD231" s="2405"/>
      <c r="AE231" s="2405"/>
      <c r="AF231" s="2405"/>
      <c r="AG231" s="2405"/>
      <c r="AH231" s="823"/>
      <c r="AI231" s="823"/>
      <c r="AJ231" s="823"/>
      <c r="AK231" s="608"/>
    </row>
    <row r="232" spans="1:37" hidden="1">
      <c r="A232" s="603"/>
      <c r="B232" s="2468" t="s">
        <v>1184</v>
      </c>
      <c r="C232" s="2468"/>
      <c r="D232" s="2468"/>
      <c r="E232" s="2468"/>
      <c r="F232" s="2468"/>
      <c r="G232" s="2468"/>
      <c r="I232" s="2599"/>
      <c r="J232" s="2599"/>
      <c r="K232" s="2599"/>
      <c r="L232" s="1010"/>
      <c r="N232" s="2425"/>
      <c r="O232" s="2425"/>
      <c r="P232" s="2425"/>
      <c r="Q232" s="2425"/>
      <c r="R232" s="2425"/>
      <c r="T232" s="2407"/>
      <c r="U232" s="2407"/>
      <c r="V232" s="2407"/>
      <c r="W232" s="2407"/>
      <c r="X232" s="2407"/>
      <c r="Y232" s="2407"/>
      <c r="Z232" s="847"/>
      <c r="AA232" s="847"/>
      <c r="AB232" s="2406">
        <f t="shared" si="0"/>
        <v>0</v>
      </c>
      <c r="AC232" s="2406"/>
      <c r="AD232" s="2406"/>
      <c r="AE232" s="2406"/>
      <c r="AF232" s="2406"/>
      <c r="AG232" s="2406"/>
      <c r="AH232" s="823"/>
      <c r="AI232" s="823"/>
      <c r="AJ232" s="823"/>
      <c r="AK232" s="608"/>
    </row>
    <row r="233" spans="1:37" hidden="1">
      <c r="A233" s="603"/>
      <c r="B233" s="476"/>
      <c r="C233" s="848"/>
      <c r="D233" s="476"/>
      <c r="K233" s="536"/>
      <c r="L233" s="536"/>
      <c r="M233" s="536"/>
      <c r="N233" s="536"/>
      <c r="O233" s="536"/>
      <c r="P233" s="536"/>
      <c r="Q233" s="536"/>
      <c r="R233" s="536"/>
      <c r="S233" s="536"/>
      <c r="T233" s="536"/>
      <c r="U233" s="536"/>
      <c r="V233" s="536"/>
      <c r="W233" s="536"/>
      <c r="X233" s="536"/>
      <c r="Y233" s="849" t="s">
        <v>1595</v>
      </c>
      <c r="AA233" s="849"/>
      <c r="AB233" s="2405">
        <f>SUM(AB223:AB232)</f>
        <v>0</v>
      </c>
      <c r="AC233" s="2405"/>
      <c r="AD233" s="2405"/>
      <c r="AE233" s="2405"/>
      <c r="AF233" s="2405"/>
      <c r="AG233" s="2405"/>
      <c r="AH233" s="823"/>
      <c r="AI233" s="823"/>
      <c r="AJ233" s="823"/>
      <c r="AK233" s="608"/>
    </row>
    <row r="234" spans="1:37" hidden="1">
      <c r="A234" s="603"/>
      <c r="B234" s="603"/>
      <c r="C234" s="659"/>
      <c r="D234" s="823"/>
      <c r="E234" s="823"/>
      <c r="F234" s="823"/>
      <c r="G234" s="823"/>
      <c r="H234" s="823"/>
      <c r="I234" s="823"/>
      <c r="J234" s="823"/>
      <c r="K234" s="549"/>
      <c r="L234" s="549"/>
      <c r="M234" s="549"/>
      <c r="N234" s="549"/>
      <c r="O234" s="549"/>
      <c r="P234" s="549"/>
      <c r="Q234" s="549"/>
      <c r="R234" s="549"/>
      <c r="S234" s="549"/>
      <c r="T234" s="549"/>
      <c r="U234" s="549"/>
      <c r="V234" s="549"/>
      <c r="W234" s="549"/>
      <c r="X234" s="549"/>
      <c r="Y234" s="641"/>
      <c r="Z234" s="641"/>
      <c r="AA234" s="641"/>
      <c r="AB234" s="641"/>
      <c r="AC234" s="549"/>
      <c r="AD234" s="549"/>
      <c r="AE234" s="608"/>
      <c r="AF234" s="608"/>
      <c r="AG234" s="608"/>
      <c r="AH234" s="608"/>
      <c r="AI234" s="608"/>
      <c r="AJ234" s="608"/>
      <c r="AK234" s="608"/>
    </row>
    <row r="235" spans="1:37" hidden="1">
      <c r="A235" s="1130" t="s">
        <v>1585</v>
      </c>
      <c r="C235" s="659"/>
      <c r="D235" s="823"/>
      <c r="E235" s="823"/>
      <c r="F235" s="823"/>
      <c r="G235" s="823"/>
      <c r="H235" s="823"/>
      <c r="I235" s="823"/>
      <c r="J235" s="823"/>
      <c r="K235" s="536"/>
      <c r="L235" s="536"/>
      <c r="M235" s="536"/>
      <c r="N235" s="536"/>
      <c r="O235" s="536"/>
      <c r="P235" s="536"/>
      <c r="Q235" s="536"/>
      <c r="R235" s="536"/>
      <c r="S235" s="536"/>
      <c r="T235" s="536"/>
      <c r="U235" s="536"/>
      <c r="V235" s="536"/>
      <c r="W235" s="536"/>
      <c r="X235" s="536"/>
      <c r="Y235" s="641"/>
      <c r="Z235" s="641"/>
      <c r="AA235" s="641"/>
      <c r="AB235" s="641"/>
      <c r="AC235" s="536"/>
      <c r="AD235" s="536"/>
      <c r="AE235" s="608"/>
      <c r="AF235" s="608"/>
      <c r="AG235" s="608"/>
      <c r="AH235" s="608"/>
      <c r="AI235" s="608"/>
      <c r="AJ235" s="608"/>
      <c r="AK235" s="608"/>
    </row>
    <row r="236" spans="1:37" hidden="1">
      <c r="A236" s="603"/>
      <c r="B236" s="476" t="s">
        <v>1613</v>
      </c>
      <c r="C236" s="659"/>
      <c r="D236" s="823"/>
      <c r="E236" s="823"/>
      <c r="F236" s="823"/>
      <c r="G236" s="823"/>
      <c r="H236" s="823"/>
      <c r="I236" s="823"/>
      <c r="J236" s="823"/>
      <c r="K236" s="536"/>
      <c r="L236" s="536"/>
      <c r="M236" s="536"/>
      <c r="N236" s="536"/>
      <c r="O236" s="536"/>
      <c r="P236" s="536"/>
      <c r="Q236" s="536"/>
      <c r="R236" s="536"/>
      <c r="S236" s="536"/>
      <c r="T236" s="536"/>
      <c r="U236" s="536"/>
      <c r="V236" s="536"/>
      <c r="W236" s="536"/>
      <c r="X236" s="536"/>
      <c r="Y236" s="641"/>
      <c r="Z236" s="641"/>
      <c r="AA236" s="641"/>
      <c r="AB236" s="641"/>
      <c r="AC236" s="536"/>
      <c r="AD236" s="536"/>
      <c r="AE236" s="608"/>
      <c r="AF236" s="608"/>
      <c r="AG236" s="608"/>
      <c r="AH236" s="608"/>
      <c r="AI236" s="608"/>
      <c r="AJ236" s="608"/>
      <c r="AK236" s="608"/>
    </row>
    <row r="237" spans="1:37" hidden="1">
      <c r="A237" s="603"/>
      <c r="B237" s="476"/>
      <c r="C237" s="659"/>
      <c r="D237" s="823"/>
      <c r="E237" s="823"/>
      <c r="F237" s="823"/>
      <c r="G237" s="823"/>
      <c r="H237" s="823"/>
      <c r="I237" s="823"/>
      <c r="J237" s="823"/>
      <c r="K237" s="536"/>
      <c r="L237" s="536"/>
      <c r="M237" s="536"/>
      <c r="N237" s="536"/>
      <c r="O237" s="536"/>
      <c r="P237" s="536"/>
      <c r="Q237" s="536"/>
      <c r="R237" s="536"/>
      <c r="S237" s="536"/>
      <c r="T237" s="536"/>
      <c r="U237" s="536"/>
      <c r="V237" s="536"/>
      <c r="W237" s="536"/>
      <c r="X237" s="536"/>
      <c r="Y237" s="641"/>
      <c r="Z237" s="641"/>
      <c r="AA237" s="641"/>
      <c r="AB237" s="641"/>
      <c r="AC237" s="536"/>
      <c r="AD237" s="536"/>
      <c r="AE237" s="608"/>
      <c r="AF237" s="608"/>
      <c r="AG237" s="608"/>
      <c r="AH237" s="608"/>
      <c r="AI237" s="608"/>
      <c r="AJ237" s="608"/>
      <c r="AK237" s="608"/>
    </row>
    <row r="238" spans="1:37" hidden="1">
      <c r="A238" s="603"/>
      <c r="B238" s="832" t="s">
        <v>1611</v>
      </c>
      <c r="C238" s="659"/>
      <c r="D238" s="823"/>
      <c r="E238" s="823"/>
      <c r="F238" s="823"/>
      <c r="G238" s="823"/>
      <c r="H238" s="823"/>
      <c r="I238" s="823"/>
      <c r="J238" s="823"/>
      <c r="K238" s="536"/>
      <c r="L238" s="536"/>
      <c r="M238" s="536"/>
      <c r="N238" s="536"/>
      <c r="O238" s="536"/>
      <c r="P238" s="536"/>
      <c r="Q238" s="536"/>
      <c r="R238" s="536"/>
      <c r="S238" s="536"/>
      <c r="T238" s="536"/>
      <c r="U238" s="536"/>
      <c r="V238" s="536"/>
      <c r="W238" s="536"/>
      <c r="X238" s="536"/>
      <c r="Y238" s="641"/>
      <c r="Z238" s="641"/>
      <c r="AA238" s="641"/>
      <c r="AB238" s="641"/>
      <c r="AC238" s="536"/>
      <c r="AD238" s="536"/>
      <c r="AE238" s="608"/>
      <c r="AF238" s="608"/>
      <c r="AG238" s="608"/>
      <c r="AH238" s="608"/>
      <c r="AI238" s="608"/>
      <c r="AJ238" s="608"/>
      <c r="AK238" s="608"/>
    </row>
    <row r="239" spans="1:37" hidden="1">
      <c r="A239" s="603"/>
      <c r="B239" s="832" t="s">
        <v>1605</v>
      </c>
      <c r="C239" s="659"/>
      <c r="D239" s="823"/>
      <c r="E239" s="823"/>
      <c r="F239" s="823"/>
      <c r="G239" s="823"/>
      <c r="H239" s="823"/>
      <c r="I239" s="823"/>
      <c r="J239" s="823"/>
      <c r="K239" s="536"/>
      <c r="L239" s="536"/>
      <c r="M239" s="536"/>
      <c r="N239" s="536"/>
      <c r="O239" s="536"/>
      <c r="P239" s="536"/>
      <c r="Q239" s="536"/>
      <c r="R239" s="536"/>
      <c r="S239" s="536"/>
      <c r="T239" s="536"/>
      <c r="U239" s="536"/>
      <c r="V239" s="536"/>
      <c r="W239" s="536"/>
      <c r="X239" s="536"/>
      <c r="Y239" s="641"/>
      <c r="Z239" s="641"/>
      <c r="AA239" s="641"/>
      <c r="AB239" s="2440"/>
      <c r="AC239" s="2440"/>
      <c r="AD239" s="2440"/>
      <c r="AE239" s="2440"/>
      <c r="AF239" s="2440"/>
      <c r="AG239" s="2440"/>
      <c r="AH239" s="608"/>
      <c r="AI239" s="608"/>
      <c r="AJ239" s="608"/>
      <c r="AK239" s="608"/>
    </row>
    <row r="240" spans="1:37" hidden="1">
      <c r="A240" s="603"/>
      <c r="B240" s="833" t="s">
        <v>1610</v>
      </c>
      <c r="C240" s="614"/>
      <c r="D240" s="831"/>
      <c r="E240" s="823"/>
      <c r="F240" s="823"/>
      <c r="G240" s="823"/>
      <c r="H240" s="823"/>
      <c r="I240" s="823"/>
      <c r="J240" s="823"/>
      <c r="K240" s="536"/>
      <c r="L240" s="536"/>
      <c r="M240" s="536"/>
      <c r="N240" s="536"/>
      <c r="O240" s="536"/>
      <c r="P240" s="536"/>
      <c r="Q240" s="536"/>
      <c r="R240" s="536"/>
      <c r="S240" s="536"/>
      <c r="T240" s="536"/>
      <c r="U240" s="536"/>
      <c r="V240" s="536"/>
      <c r="W240" s="536"/>
      <c r="X240" s="536"/>
      <c r="Y240" s="641"/>
      <c r="Z240" s="641"/>
      <c r="AA240" s="641"/>
      <c r="AB240" s="641"/>
      <c r="AC240" s="536"/>
      <c r="AD240" s="536"/>
      <c r="AE240" s="608"/>
      <c r="AF240" s="608"/>
      <c r="AG240" s="608"/>
      <c r="AH240" s="608"/>
      <c r="AI240" s="608"/>
      <c r="AJ240" s="608"/>
      <c r="AK240" s="608"/>
    </row>
    <row r="241" spans="1:37" hidden="1">
      <c r="A241" s="603"/>
      <c r="B241" s="834" t="s">
        <v>1612</v>
      </c>
      <c r="C241" s="659"/>
      <c r="D241" s="823"/>
      <c r="E241" s="823"/>
      <c r="F241" s="823"/>
      <c r="G241" s="823"/>
      <c r="H241" s="823"/>
      <c r="I241" s="823"/>
      <c r="J241" s="823"/>
      <c r="K241" s="536"/>
      <c r="L241" s="536"/>
      <c r="M241" s="536"/>
      <c r="N241" s="536"/>
      <c r="O241" s="536"/>
      <c r="P241" s="536"/>
      <c r="Q241" s="536"/>
      <c r="R241" s="536"/>
      <c r="S241" s="536"/>
      <c r="T241" s="536"/>
      <c r="U241" s="536"/>
      <c r="V241" s="536"/>
      <c r="W241" s="536"/>
      <c r="X241" s="536"/>
      <c r="Y241" s="641"/>
      <c r="Z241" s="641"/>
      <c r="AA241" s="641"/>
      <c r="AB241" s="641"/>
      <c r="AC241" s="536"/>
      <c r="AD241" s="536"/>
      <c r="AE241" s="608"/>
      <c r="AF241" s="608"/>
      <c r="AG241" s="608"/>
      <c r="AH241" s="608"/>
      <c r="AI241" s="608"/>
      <c r="AJ241" s="608"/>
      <c r="AK241" s="608"/>
    </row>
    <row r="242" spans="1:37" hidden="1">
      <c r="A242" s="603"/>
      <c r="B242" s="834" t="s">
        <v>1606</v>
      </c>
      <c r="C242" s="659"/>
      <c r="D242" s="823"/>
      <c r="E242" s="823"/>
      <c r="F242" s="823"/>
      <c r="G242" s="823"/>
      <c r="H242" s="823"/>
      <c r="I242" s="823"/>
      <c r="J242" s="823"/>
      <c r="K242" s="536"/>
      <c r="L242" s="536"/>
      <c r="M242" s="536"/>
      <c r="N242" s="536"/>
      <c r="O242" s="536"/>
      <c r="P242" s="536"/>
      <c r="Q242" s="536"/>
      <c r="R242" s="536"/>
      <c r="S242" s="536"/>
      <c r="T242" s="536"/>
      <c r="U242" s="536"/>
      <c r="V242" s="536"/>
      <c r="W242" s="536"/>
      <c r="X242" s="536"/>
      <c r="Y242" s="641"/>
      <c r="Z242" s="641"/>
      <c r="AA242" s="641"/>
      <c r="AB242" s="2440"/>
      <c r="AC242" s="2440"/>
      <c r="AD242" s="2440"/>
      <c r="AE242" s="2440"/>
      <c r="AF242" s="2440"/>
      <c r="AG242" s="2440"/>
      <c r="AH242" s="608"/>
      <c r="AI242" s="608"/>
      <c r="AJ242" s="608"/>
      <c r="AK242" s="608"/>
    </row>
    <row r="243" spans="1:37" hidden="1">
      <c r="A243" s="603"/>
      <c r="B243" s="834" t="s">
        <v>1607</v>
      </c>
      <c r="C243" s="659"/>
      <c r="D243" s="823"/>
      <c r="E243" s="823"/>
      <c r="F243" s="823"/>
      <c r="G243" s="823"/>
      <c r="H243" s="823"/>
      <c r="I243" s="823"/>
      <c r="J243" s="823"/>
      <c r="K243" s="536"/>
      <c r="L243" s="536"/>
      <c r="M243" s="536"/>
      <c r="N243" s="536"/>
      <c r="O243" s="536"/>
      <c r="P243" s="536"/>
      <c r="Q243" s="536"/>
      <c r="R243" s="536"/>
      <c r="S243" s="536"/>
      <c r="T243" s="536"/>
      <c r="U243" s="536"/>
      <c r="V243" s="536"/>
      <c r="W243" s="536"/>
      <c r="X243" s="536"/>
      <c r="Y243" s="641"/>
      <c r="Z243" s="641"/>
      <c r="AA243" s="641"/>
      <c r="AB243" s="2423"/>
      <c r="AC243" s="2423"/>
      <c r="AD243" s="2423"/>
      <c r="AE243" s="2423"/>
      <c r="AF243" s="2423"/>
      <c r="AG243" s="2423"/>
      <c r="AH243" s="608"/>
      <c r="AI243" s="608"/>
      <c r="AJ243" s="608"/>
      <c r="AK243" s="608"/>
    </row>
    <row r="244" spans="1:37" hidden="1">
      <c r="A244" s="603"/>
      <c r="B244" s="834" t="s">
        <v>1608</v>
      </c>
      <c r="C244" s="659"/>
      <c r="D244" s="823"/>
      <c r="E244" s="823"/>
      <c r="F244" s="823"/>
      <c r="G244" s="823"/>
      <c r="H244" s="823"/>
      <c r="I244" s="823"/>
      <c r="J244" s="823"/>
      <c r="K244" s="536"/>
      <c r="L244" s="536"/>
      <c r="M244" s="536"/>
      <c r="N244" s="536"/>
      <c r="O244" s="536"/>
      <c r="P244" s="536"/>
      <c r="Q244" s="536"/>
      <c r="R244" s="536"/>
      <c r="S244" s="536"/>
      <c r="T244" s="536"/>
      <c r="U244" s="536"/>
      <c r="V244" s="536"/>
      <c r="W244" s="536"/>
      <c r="X244" s="536"/>
      <c r="Y244" s="641"/>
      <c r="Z244" s="641"/>
      <c r="AA244" s="641"/>
      <c r="AB244" s="2408">
        <f>IFERROR(AB242/AB243,0)</f>
        <v>0</v>
      </c>
      <c r="AC244" s="2408"/>
      <c r="AD244" s="2408"/>
      <c r="AE244" s="2408"/>
      <c r="AF244" s="2408"/>
      <c r="AG244" s="2408"/>
      <c r="AH244" s="608"/>
      <c r="AI244" s="608"/>
      <c r="AJ244" s="608"/>
      <c r="AK244" s="608"/>
    </row>
    <row r="245" spans="1:37" hidden="1">
      <c r="A245" s="603"/>
      <c r="B245" s="476"/>
      <c r="C245" s="659"/>
      <c r="D245" s="823"/>
      <c r="E245" s="823"/>
      <c r="F245" s="823"/>
      <c r="G245" s="823"/>
      <c r="H245" s="823"/>
      <c r="I245" s="823"/>
      <c r="J245" s="823"/>
      <c r="K245" s="536"/>
      <c r="L245" s="536"/>
      <c r="M245" s="536"/>
      <c r="N245" s="536"/>
      <c r="O245" s="536"/>
      <c r="P245" s="536"/>
      <c r="Q245" s="536"/>
      <c r="R245" s="536"/>
      <c r="S245" s="536"/>
      <c r="T245" s="536"/>
      <c r="U245" s="536"/>
      <c r="V245" s="536"/>
      <c r="W245" s="536"/>
      <c r="X245" s="536"/>
      <c r="Y245" s="641"/>
      <c r="Z245" s="641"/>
      <c r="AA245" s="641"/>
      <c r="AB245" s="641"/>
      <c r="AC245" s="536"/>
      <c r="AD245" s="536"/>
      <c r="AE245" s="608"/>
      <c r="AF245" s="608"/>
      <c r="AG245" s="608"/>
      <c r="AH245" s="608"/>
      <c r="AI245" s="608"/>
      <c r="AJ245" s="608"/>
      <c r="AK245" s="608"/>
    </row>
    <row r="246" spans="1:37" hidden="1">
      <c r="A246" s="603"/>
      <c r="B246" s="476" t="s">
        <v>1609</v>
      </c>
      <c r="C246" s="659"/>
      <c r="D246" s="823"/>
      <c r="E246" s="823"/>
      <c r="F246" s="823"/>
      <c r="G246" s="823"/>
      <c r="H246" s="823"/>
      <c r="I246" s="823"/>
      <c r="J246" s="823"/>
      <c r="K246" s="536"/>
      <c r="L246" s="536"/>
      <c r="M246" s="536"/>
      <c r="N246" s="536"/>
      <c r="O246" s="536"/>
      <c r="P246" s="536"/>
      <c r="Q246" s="536"/>
      <c r="R246" s="536"/>
      <c r="S246" s="536"/>
      <c r="T246" s="536"/>
      <c r="U246" s="536"/>
      <c r="V246" s="536"/>
      <c r="W246" s="536"/>
      <c r="X246" s="536"/>
      <c r="Y246" s="641"/>
      <c r="Z246" s="641"/>
      <c r="AA246" s="641"/>
      <c r="AB246" s="2406">
        <f>MAX(AB239,AB244)</f>
        <v>0</v>
      </c>
      <c r="AC246" s="2406"/>
      <c r="AD246" s="2406"/>
      <c r="AE246" s="2406"/>
      <c r="AF246" s="2406"/>
      <c r="AG246" s="2406"/>
      <c r="AH246" s="608"/>
      <c r="AI246" s="608"/>
      <c r="AJ246" s="608"/>
      <c r="AK246" s="608"/>
    </row>
    <row r="247" spans="1:37" hidden="1">
      <c r="A247" s="603"/>
      <c r="B247" s="476"/>
      <c r="C247" s="659"/>
      <c r="D247" s="823"/>
      <c r="E247" s="823"/>
      <c r="F247" s="823"/>
      <c r="G247" s="823"/>
      <c r="H247" s="823"/>
      <c r="I247" s="823"/>
      <c r="J247" s="823"/>
      <c r="K247" s="536"/>
      <c r="L247" s="536"/>
      <c r="M247" s="536"/>
      <c r="N247" s="536"/>
      <c r="O247" s="536"/>
      <c r="P247" s="536"/>
      <c r="Q247" s="536"/>
      <c r="R247" s="536"/>
      <c r="S247" s="536"/>
      <c r="T247" s="536"/>
      <c r="U247" s="536"/>
      <c r="V247" s="536"/>
      <c r="W247" s="536"/>
      <c r="X247" s="536"/>
      <c r="Y247" s="641"/>
      <c r="Z247" s="641"/>
      <c r="AA247" s="641"/>
      <c r="AB247" s="641"/>
      <c r="AC247" s="536"/>
      <c r="AD247" s="536"/>
      <c r="AE247" s="608"/>
      <c r="AF247" s="608"/>
      <c r="AG247" s="608"/>
      <c r="AH247" s="608"/>
      <c r="AI247" s="608"/>
      <c r="AJ247" s="608"/>
      <c r="AK247" s="608"/>
    </row>
    <row r="248" spans="1:37" hidden="1">
      <c r="A248" s="603"/>
      <c r="B248" s="476"/>
      <c r="C248" s="659"/>
      <c r="D248" s="823"/>
      <c r="E248" s="823"/>
      <c r="F248" s="823"/>
      <c r="G248" s="823"/>
      <c r="H248" s="823"/>
      <c r="I248" s="823"/>
      <c r="J248" s="823"/>
      <c r="K248" s="536"/>
      <c r="L248" s="536"/>
      <c r="M248" s="536"/>
      <c r="N248" s="536"/>
      <c r="O248" s="536"/>
      <c r="P248" s="536"/>
      <c r="Q248" s="536"/>
      <c r="R248" s="536"/>
      <c r="S248" s="536"/>
      <c r="T248" s="536"/>
      <c r="U248" s="536"/>
      <c r="V248" s="536"/>
      <c r="W248" s="536"/>
      <c r="X248" s="536"/>
      <c r="Y248" s="641"/>
      <c r="Z248" s="641"/>
      <c r="AA248" s="641"/>
      <c r="AB248" s="641"/>
      <c r="AC248" s="536"/>
      <c r="AD248" s="536"/>
      <c r="AE248" s="608"/>
      <c r="AF248" s="608"/>
      <c r="AG248" s="608"/>
      <c r="AH248" s="608"/>
      <c r="AI248" s="608"/>
      <c r="AJ248" s="608"/>
      <c r="AK248" s="608"/>
    </row>
    <row r="249" spans="1:37" hidden="1">
      <c r="A249" s="603"/>
      <c r="B249" s="476" t="s">
        <v>1598</v>
      </c>
      <c r="C249" s="659"/>
      <c r="D249" s="823"/>
      <c r="E249" s="823"/>
      <c r="F249" s="823"/>
      <c r="G249" s="823"/>
      <c r="H249" s="823"/>
      <c r="I249" s="823"/>
      <c r="J249" s="823"/>
      <c r="K249" s="536"/>
      <c r="L249" s="536"/>
      <c r="M249" s="536"/>
      <c r="N249" s="536"/>
      <c r="O249" s="536"/>
      <c r="P249" s="536"/>
      <c r="Q249" s="536"/>
      <c r="R249" s="536"/>
      <c r="S249" s="536"/>
      <c r="U249" s="835"/>
      <c r="V249" s="835"/>
      <c r="W249" s="835"/>
      <c r="X249" s="835"/>
      <c r="Y249" s="835"/>
      <c r="Z249" s="641"/>
      <c r="AA249" s="641"/>
      <c r="AB249" s="2405">
        <f>AB233+AB246</f>
        <v>0</v>
      </c>
      <c r="AC249" s="2405"/>
      <c r="AD249" s="2405"/>
      <c r="AE249" s="2405"/>
      <c r="AF249" s="2405"/>
      <c r="AG249" s="2405"/>
      <c r="AH249" s="608"/>
      <c r="AI249" s="608"/>
      <c r="AJ249" s="608"/>
      <c r="AK249" s="608"/>
    </row>
    <row r="250" spans="1:37" hidden="1">
      <c r="A250" s="603"/>
      <c r="B250" s="476" t="s">
        <v>838</v>
      </c>
      <c r="C250" s="659"/>
      <c r="D250" s="823"/>
      <c r="E250" s="823"/>
      <c r="F250" s="823"/>
      <c r="G250" s="823"/>
      <c r="H250" s="823"/>
      <c r="I250" s="823"/>
      <c r="J250" s="823"/>
      <c r="K250" s="536"/>
      <c r="L250" s="536"/>
      <c r="M250" s="536"/>
      <c r="N250" s="536"/>
      <c r="O250" s="536"/>
      <c r="P250" s="536"/>
      <c r="Q250" s="536"/>
      <c r="R250" s="536"/>
      <c r="S250" s="536"/>
      <c r="U250" s="836"/>
      <c r="V250" s="836"/>
      <c r="W250" s="836"/>
      <c r="X250" s="836"/>
      <c r="Y250" s="836"/>
      <c r="Z250" s="641"/>
      <c r="AA250" s="641"/>
      <c r="AB250" s="2579">
        <v>0.05</v>
      </c>
      <c r="AC250" s="2579"/>
      <c r="AD250" s="2579"/>
      <c r="AE250" s="2579"/>
      <c r="AF250" s="2579"/>
      <c r="AG250" s="2579"/>
      <c r="AH250" s="608"/>
      <c r="AI250" s="608"/>
      <c r="AJ250" s="608"/>
      <c r="AK250" s="608"/>
    </row>
    <row r="251" spans="1:37" hidden="1">
      <c r="A251" s="603"/>
      <c r="B251" s="476" t="s">
        <v>1599</v>
      </c>
      <c r="C251" s="659"/>
      <c r="D251" s="823"/>
      <c r="E251" s="823"/>
      <c r="F251" s="823"/>
      <c r="G251" s="823"/>
      <c r="H251" s="823"/>
      <c r="I251" s="823"/>
      <c r="J251" s="823"/>
      <c r="K251" s="536"/>
      <c r="L251" s="536"/>
      <c r="M251" s="536"/>
      <c r="N251" s="536"/>
      <c r="O251" s="536"/>
      <c r="P251" s="536"/>
      <c r="Q251" s="536"/>
      <c r="R251" s="536"/>
      <c r="S251" s="536"/>
      <c r="U251" s="835"/>
      <c r="V251" s="835"/>
      <c r="W251" s="835"/>
      <c r="X251" s="835"/>
      <c r="Y251" s="835"/>
      <c r="Z251" s="641"/>
      <c r="AA251" s="641"/>
      <c r="AB251" s="2580">
        <f>AB249-(AB249*AB250)</f>
        <v>0</v>
      </c>
      <c r="AC251" s="2580"/>
      <c r="AD251" s="2580"/>
      <c r="AE251" s="2580"/>
      <c r="AF251" s="2580"/>
      <c r="AG251" s="2580"/>
      <c r="AH251" s="608"/>
      <c r="AI251" s="608"/>
      <c r="AJ251" s="608"/>
      <c r="AK251" s="608"/>
    </row>
    <row r="252" spans="1:37" hidden="1">
      <c r="A252" s="603"/>
      <c r="B252" s="476" t="s">
        <v>1600</v>
      </c>
      <c r="C252" s="659"/>
      <c r="D252" s="823"/>
      <c r="E252" s="823"/>
      <c r="F252" s="823"/>
      <c r="G252" s="823"/>
      <c r="H252" s="823"/>
      <c r="I252" s="823"/>
      <c r="J252" s="823"/>
      <c r="K252" s="536"/>
      <c r="L252" s="536"/>
      <c r="M252" s="536"/>
      <c r="N252" s="536"/>
      <c r="O252" s="536"/>
      <c r="P252" s="536"/>
      <c r="Q252" s="536"/>
      <c r="R252" s="536"/>
      <c r="S252" s="536"/>
      <c r="U252" s="536"/>
      <c r="V252" s="536"/>
      <c r="W252" s="536"/>
      <c r="X252" s="536"/>
      <c r="Y252" s="837"/>
      <c r="Z252" s="641"/>
      <c r="AA252" s="641"/>
      <c r="AB252" s="536"/>
      <c r="AC252" s="536"/>
      <c r="AD252" s="536"/>
      <c r="AE252" s="608"/>
      <c r="AF252" s="608"/>
      <c r="AG252" s="608"/>
      <c r="AH252" s="608"/>
      <c r="AI252" s="608"/>
      <c r="AJ252" s="608"/>
      <c r="AK252" s="608"/>
    </row>
    <row r="253" spans="1:37" hidden="1">
      <c r="A253" s="603"/>
      <c r="B253" s="476" t="s">
        <v>1601</v>
      </c>
      <c r="C253" s="659"/>
      <c r="D253" s="823"/>
      <c r="E253" s="823"/>
      <c r="F253" s="823"/>
      <c r="G253" s="823"/>
      <c r="H253" s="823"/>
      <c r="I253" s="823"/>
      <c r="J253" s="823"/>
      <c r="K253" s="536"/>
      <c r="L253" s="536"/>
      <c r="M253" s="536"/>
      <c r="N253" s="536"/>
      <c r="O253" s="536"/>
      <c r="P253" s="536"/>
      <c r="Q253" s="536"/>
      <c r="R253" s="536"/>
      <c r="S253" s="536"/>
      <c r="U253" s="835"/>
      <c r="V253" s="835"/>
      <c r="W253" s="835"/>
      <c r="X253" s="835"/>
      <c r="Y253" s="835"/>
      <c r="Z253" s="641"/>
      <c r="AA253" s="641"/>
      <c r="AB253" s="2405">
        <f>AB251/AB257</f>
        <v>0</v>
      </c>
      <c r="AC253" s="2405"/>
      <c r="AD253" s="2405"/>
      <c r="AE253" s="2405"/>
      <c r="AF253" s="2405"/>
      <c r="AG253" s="2405"/>
      <c r="AH253" s="608"/>
      <c r="AI253" s="608"/>
      <c r="AJ253" s="608"/>
      <c r="AK253" s="608"/>
    </row>
    <row r="254" spans="1:37" hidden="1">
      <c r="A254" s="603"/>
      <c r="B254" s="476"/>
      <c r="C254" s="659"/>
      <c r="D254" s="823"/>
      <c r="E254" s="823"/>
      <c r="F254" s="823"/>
      <c r="G254" s="823"/>
      <c r="H254" s="823"/>
      <c r="I254" s="823"/>
      <c r="J254" s="823"/>
      <c r="K254" s="536"/>
      <c r="L254" s="536"/>
      <c r="M254" s="536"/>
      <c r="N254" s="536"/>
      <c r="O254" s="536"/>
      <c r="P254" s="536"/>
      <c r="Q254" s="536"/>
      <c r="R254" s="536"/>
      <c r="S254" s="536"/>
      <c r="U254" s="536"/>
      <c r="V254" s="536"/>
      <c r="W254" s="536"/>
      <c r="X254" s="536"/>
      <c r="Y254" s="476"/>
      <c r="Z254" s="641"/>
      <c r="AA254" s="641"/>
      <c r="AB254" s="536"/>
      <c r="AC254" s="536"/>
      <c r="AD254" s="536"/>
      <c r="AE254" s="608"/>
      <c r="AF254" s="608"/>
      <c r="AG254" s="608"/>
      <c r="AH254" s="608"/>
      <c r="AI254" s="608"/>
      <c r="AJ254" s="608"/>
      <c r="AK254" s="608"/>
    </row>
    <row r="255" spans="1:37" hidden="1">
      <c r="A255" s="603"/>
      <c r="B255" s="476" t="s">
        <v>1602</v>
      </c>
      <c r="C255" s="659"/>
      <c r="D255" s="823"/>
      <c r="E255" s="823"/>
      <c r="F255" s="823"/>
      <c r="G255" s="823"/>
      <c r="H255" s="823"/>
      <c r="I255" s="823"/>
      <c r="J255" s="823"/>
      <c r="K255" s="536"/>
      <c r="L255" s="536"/>
      <c r="M255" s="536"/>
      <c r="N255" s="536"/>
      <c r="O255" s="536"/>
      <c r="P255" s="536"/>
      <c r="Q255" s="536"/>
      <c r="R255" s="536"/>
      <c r="S255" s="536"/>
      <c r="U255" s="476"/>
      <c r="V255" s="476"/>
      <c r="W255" s="476"/>
      <c r="X255" s="476"/>
      <c r="Y255" s="476"/>
      <c r="Z255" s="641"/>
      <c r="AA255" s="641"/>
      <c r="AB255" s="2588">
        <v>15</v>
      </c>
      <c r="AC255" s="2588"/>
      <c r="AD255" s="2588"/>
      <c r="AE255" s="2588"/>
      <c r="AF255" s="2588"/>
      <c r="AG255" s="2588"/>
      <c r="AH255" s="608"/>
      <c r="AI255" s="608"/>
      <c r="AJ255" s="608"/>
      <c r="AK255" s="608"/>
    </row>
    <row r="256" spans="1:37" hidden="1">
      <c r="A256" s="603"/>
      <c r="B256" s="476" t="s">
        <v>1603</v>
      </c>
      <c r="C256" s="659"/>
      <c r="D256" s="823"/>
      <c r="E256" s="823"/>
      <c r="F256" s="823"/>
      <c r="G256" s="823"/>
      <c r="H256" s="823"/>
      <c r="I256" s="823"/>
      <c r="J256" s="823"/>
      <c r="K256" s="536"/>
      <c r="L256" s="536"/>
      <c r="M256" s="536"/>
      <c r="N256" s="536"/>
      <c r="O256" s="536"/>
      <c r="P256" s="536"/>
      <c r="Q256" s="536"/>
      <c r="R256" s="536"/>
      <c r="S256" s="536"/>
      <c r="U256" s="836"/>
      <c r="V256" s="836"/>
      <c r="W256" s="836"/>
      <c r="X256" s="836"/>
      <c r="Y256" s="836"/>
      <c r="Z256" s="641"/>
      <c r="AA256" s="641"/>
      <c r="AB256" s="2556">
        <v>0.04</v>
      </c>
      <c r="AC256" s="2556"/>
      <c r="AD256" s="2556"/>
      <c r="AE256" s="2556"/>
      <c r="AF256" s="2556"/>
      <c r="AG256" s="2556"/>
      <c r="AH256" s="608"/>
      <c r="AI256" s="608"/>
      <c r="AJ256" s="608"/>
      <c r="AK256" s="608"/>
    </row>
    <row r="257" spans="1:39" hidden="1">
      <c r="A257" s="603"/>
      <c r="B257" s="476" t="s">
        <v>850</v>
      </c>
      <c r="C257" s="659"/>
      <c r="D257" s="823"/>
      <c r="E257" s="823"/>
      <c r="F257" s="823"/>
      <c r="G257" s="823"/>
      <c r="H257" s="823"/>
      <c r="I257" s="823"/>
      <c r="J257" s="823"/>
      <c r="K257" s="536"/>
      <c r="L257" s="536"/>
      <c r="M257" s="536"/>
      <c r="N257" s="536"/>
      <c r="O257" s="536"/>
      <c r="P257" s="536"/>
      <c r="Q257" s="536"/>
      <c r="R257" s="536"/>
      <c r="S257" s="536"/>
      <c r="U257" s="838"/>
      <c r="V257" s="838"/>
      <c r="W257" s="838"/>
      <c r="X257" s="838"/>
      <c r="Y257" s="838"/>
      <c r="Z257" s="641"/>
      <c r="AA257" s="641"/>
      <c r="AB257" s="2565">
        <v>1.1499999999999999</v>
      </c>
      <c r="AC257" s="2565"/>
      <c r="AD257" s="2565"/>
      <c r="AE257" s="2565"/>
      <c r="AF257" s="2565"/>
      <c r="AG257" s="2565"/>
      <c r="AH257" s="608"/>
      <c r="AI257" s="608"/>
      <c r="AJ257" s="608"/>
      <c r="AK257" s="608"/>
    </row>
    <row r="258" spans="1:39" hidden="1">
      <c r="A258" s="603"/>
      <c r="B258" s="476"/>
      <c r="C258" s="659"/>
      <c r="D258" s="823"/>
      <c r="E258" s="823"/>
      <c r="F258" s="823"/>
      <c r="G258" s="823"/>
      <c r="H258" s="823"/>
      <c r="I258" s="823"/>
      <c r="J258" s="823"/>
      <c r="K258" s="536"/>
      <c r="L258" s="536"/>
      <c r="M258" s="536"/>
      <c r="N258" s="536"/>
      <c r="O258" s="536"/>
      <c r="P258" s="536"/>
      <c r="Q258" s="536"/>
      <c r="R258" s="536"/>
      <c r="S258" s="536"/>
      <c r="U258" s="536"/>
      <c r="V258" s="536"/>
      <c r="W258" s="536"/>
      <c r="X258" s="536"/>
      <c r="Y258" s="489"/>
      <c r="Z258" s="641"/>
      <c r="AA258" s="641"/>
      <c r="AB258" s="536"/>
      <c r="AC258" s="536"/>
      <c r="AD258" s="536"/>
      <c r="AE258" s="608"/>
      <c r="AF258" s="608"/>
      <c r="AG258" s="608"/>
      <c r="AH258" s="608"/>
      <c r="AI258" s="608"/>
      <c r="AJ258" s="608"/>
      <c r="AK258" s="608"/>
    </row>
    <row r="259" spans="1:39" hidden="1">
      <c r="A259" s="603"/>
      <c r="B259" s="840" t="s">
        <v>1604</v>
      </c>
      <c r="C259" s="659"/>
      <c r="D259" s="823"/>
      <c r="E259" s="823"/>
      <c r="F259" s="823"/>
      <c r="G259" s="823"/>
      <c r="H259" s="823"/>
      <c r="I259" s="823"/>
      <c r="J259" s="823"/>
      <c r="K259" s="536"/>
      <c r="L259" s="536"/>
      <c r="M259" s="536"/>
      <c r="N259" s="536"/>
      <c r="O259" s="536"/>
      <c r="P259" s="536"/>
      <c r="Q259" s="536"/>
      <c r="R259" s="536"/>
      <c r="S259" s="536"/>
      <c r="U259" s="839"/>
      <c r="V259" s="839"/>
      <c r="W259" s="839"/>
      <c r="X259" s="839"/>
      <c r="Y259" s="839"/>
      <c r="Z259" s="641"/>
      <c r="AA259" s="641"/>
      <c r="AB259" s="2572">
        <f>PV(AB256/12,AB255*12,-AB253/12, ,0)</f>
        <v>0</v>
      </c>
      <c r="AC259" s="2573"/>
      <c r="AD259" s="2573"/>
      <c r="AE259" s="2573"/>
      <c r="AF259" s="2573"/>
      <c r="AG259" s="2574"/>
      <c r="AH259" s="608"/>
      <c r="AI259" s="608"/>
      <c r="AJ259" s="608"/>
      <c r="AK259" s="608"/>
    </row>
    <row r="260" spans="1:39" hidden="1">
      <c r="A260" s="603"/>
      <c r="B260" s="840"/>
      <c r="C260" s="659"/>
      <c r="D260" s="823"/>
      <c r="E260" s="823"/>
      <c r="F260" s="823"/>
      <c r="G260" s="823"/>
      <c r="H260" s="823"/>
      <c r="I260" s="823"/>
      <c r="J260" s="823"/>
      <c r="K260" s="536"/>
      <c r="L260" s="536"/>
      <c r="M260" s="536"/>
      <c r="N260" s="536"/>
      <c r="O260" s="536"/>
      <c r="P260" s="536"/>
      <c r="Q260" s="536"/>
      <c r="R260" s="536"/>
      <c r="S260" s="536"/>
      <c r="U260" s="839"/>
      <c r="V260" s="839"/>
      <c r="W260" s="839"/>
      <c r="X260" s="839"/>
      <c r="Y260" s="839"/>
      <c r="Z260" s="641"/>
      <c r="AA260" s="641"/>
      <c r="AB260" s="851"/>
      <c r="AC260" s="851"/>
      <c r="AD260" s="851"/>
      <c r="AE260" s="851"/>
      <c r="AF260" s="851"/>
      <c r="AG260" s="851"/>
      <c r="AH260" s="608"/>
      <c r="AI260" s="608"/>
      <c r="AJ260" s="608"/>
      <c r="AK260" s="608"/>
    </row>
    <row r="261" spans="1:39" hidden="1">
      <c r="A261" s="603"/>
      <c r="B261" s="840"/>
      <c r="C261" s="659"/>
      <c r="D261" s="823"/>
      <c r="E261" s="823"/>
      <c r="F261" s="823"/>
      <c r="G261" s="823"/>
      <c r="H261" s="823"/>
      <c r="I261" s="823"/>
      <c r="J261" s="823"/>
      <c r="K261" s="536"/>
      <c r="L261" s="536"/>
      <c r="M261" s="536"/>
      <c r="N261" s="536"/>
      <c r="O261" s="536"/>
      <c r="P261" s="536"/>
      <c r="Q261" s="536"/>
      <c r="R261" s="536"/>
      <c r="S261" s="536"/>
      <c r="U261" s="839"/>
      <c r="V261" s="839"/>
      <c r="W261" s="839"/>
      <c r="X261" s="839"/>
      <c r="Y261" s="839"/>
      <c r="Z261" s="641"/>
      <c r="AA261" s="641"/>
      <c r="AB261" s="851"/>
      <c r="AC261" s="851"/>
      <c r="AD261" s="851"/>
      <c r="AE261" s="851"/>
      <c r="AF261" s="851"/>
      <c r="AG261" s="851"/>
      <c r="AH261" s="608"/>
      <c r="AI261" s="608"/>
      <c r="AJ261" s="608"/>
      <c r="AK261" s="608"/>
    </row>
    <row r="262" spans="1:39" hidden="1">
      <c r="A262" s="603"/>
      <c r="B262" s="843" t="s">
        <v>1580</v>
      </c>
      <c r="C262" s="843"/>
      <c r="D262" s="823"/>
      <c r="E262" s="823"/>
      <c r="F262" s="823"/>
      <c r="G262" s="823"/>
      <c r="H262" s="823"/>
      <c r="I262" s="823"/>
      <c r="J262" s="823"/>
      <c r="K262" s="536"/>
      <c r="L262" s="536"/>
      <c r="M262" s="536"/>
      <c r="N262" s="536"/>
      <c r="O262" s="536"/>
      <c r="P262" s="536"/>
      <c r="Q262" s="536"/>
      <c r="R262" s="536"/>
      <c r="S262" s="536"/>
      <c r="T262" s="536"/>
      <c r="U262" s="536"/>
      <c r="V262" s="536"/>
      <c r="W262" s="536"/>
      <c r="X262" s="536"/>
      <c r="Y262" s="641"/>
      <c r="Z262" s="641"/>
      <c r="AA262" s="641"/>
      <c r="AB262" s="641"/>
      <c r="AC262" s="536"/>
      <c r="AD262" s="536"/>
      <c r="AE262" s="608"/>
      <c r="AF262" s="608"/>
      <c r="AG262" s="608"/>
      <c r="AH262" s="608"/>
      <c r="AI262" s="608"/>
      <c r="AJ262" s="608"/>
      <c r="AK262" s="608"/>
    </row>
    <row r="263" spans="1:39" hidden="1">
      <c r="A263" s="603"/>
      <c r="B263" s="603" t="s">
        <v>1583</v>
      </c>
      <c r="C263" s="659"/>
      <c r="D263" s="823"/>
      <c r="E263" s="823"/>
      <c r="F263" s="823"/>
      <c r="G263" s="823"/>
      <c r="H263" s="823"/>
      <c r="I263" s="823"/>
      <c r="J263" s="823"/>
      <c r="K263" s="536"/>
      <c r="L263" s="536"/>
      <c r="M263" s="536"/>
      <c r="N263" s="536"/>
      <c r="O263" s="536"/>
      <c r="P263" s="536"/>
      <c r="Q263" s="536"/>
      <c r="R263" s="536"/>
      <c r="S263" s="536"/>
      <c r="T263" s="536"/>
      <c r="U263" s="536"/>
      <c r="V263" s="536"/>
      <c r="W263" s="536"/>
      <c r="X263" s="536"/>
      <c r="Y263" s="641"/>
      <c r="Z263" s="641"/>
      <c r="AA263" s="641"/>
      <c r="AB263" s="641"/>
      <c r="AC263" s="536"/>
      <c r="AD263" s="536"/>
      <c r="AE263" s="608"/>
      <c r="AF263" s="608"/>
      <c r="AG263" s="608"/>
      <c r="AH263" s="608"/>
      <c r="AI263" s="608"/>
      <c r="AJ263" s="608"/>
      <c r="AK263" s="608"/>
    </row>
    <row r="264" spans="1:39" hidden="1">
      <c r="A264" s="603"/>
      <c r="B264" s="603" t="s">
        <v>1582</v>
      </c>
      <c r="C264" s="659"/>
      <c r="D264" s="823"/>
      <c r="E264" s="823"/>
      <c r="F264" s="823"/>
      <c r="G264" s="823"/>
      <c r="H264" s="823"/>
      <c r="I264" s="823"/>
      <c r="J264" s="823"/>
      <c r="K264" s="536"/>
      <c r="L264" s="536"/>
      <c r="M264" s="536"/>
      <c r="N264" s="536"/>
      <c r="O264" s="536"/>
      <c r="P264" s="536"/>
      <c r="Q264" s="536"/>
      <c r="R264" s="536"/>
      <c r="S264" s="536"/>
      <c r="T264" s="536"/>
      <c r="U264" s="536"/>
      <c r="V264" s="536"/>
      <c r="W264" s="536"/>
      <c r="X264" s="536"/>
      <c r="Y264" s="641"/>
      <c r="Z264" s="641"/>
      <c r="AA264" s="641"/>
      <c r="AB264" s="641"/>
      <c r="AC264" s="536"/>
      <c r="AD264" s="536"/>
      <c r="AE264" s="608"/>
      <c r="AF264" s="608"/>
      <c r="AG264" s="608"/>
      <c r="AH264" s="608"/>
      <c r="AI264" s="608"/>
      <c r="AJ264" s="608"/>
      <c r="AK264" s="608"/>
    </row>
    <row r="265" spans="1:39" hidden="1">
      <c r="A265" s="603"/>
      <c r="B265" s="603" t="s">
        <v>1581</v>
      </c>
      <c r="C265" s="659"/>
      <c r="D265" s="823"/>
      <c r="E265" s="823"/>
      <c r="F265" s="823"/>
      <c r="G265" s="823"/>
      <c r="H265" s="823"/>
      <c r="I265" s="823"/>
      <c r="J265" s="823"/>
      <c r="K265" s="536"/>
      <c r="L265" s="536"/>
      <c r="M265" s="536"/>
      <c r="N265" s="536"/>
      <c r="O265" s="536"/>
      <c r="P265" s="536"/>
      <c r="Q265" s="536"/>
      <c r="R265" s="536"/>
      <c r="S265" s="536"/>
      <c r="T265" s="536"/>
      <c r="U265" s="536"/>
      <c r="V265" s="536"/>
      <c r="W265" s="536"/>
      <c r="X265" s="536"/>
      <c r="Y265" s="641"/>
      <c r="Z265" s="641"/>
      <c r="AA265" s="641"/>
      <c r="AB265" s="2576">
        <f>IFERROR(('Sources and Uses Budget'!D105/'Sources and Uses Budget'!B105),0)</f>
        <v>0</v>
      </c>
      <c r="AC265" s="2577"/>
      <c r="AD265" s="2577"/>
      <c r="AE265" s="2577"/>
      <c r="AF265" s="2577"/>
      <c r="AG265" s="2578"/>
      <c r="AH265" s="852"/>
      <c r="AI265" s="852"/>
      <c r="AJ265" s="852"/>
      <c r="AK265" s="608"/>
    </row>
    <row r="266" spans="1:39" hidden="1">
      <c r="A266" s="603"/>
      <c r="B266" s="476"/>
      <c r="C266" s="659"/>
      <c r="D266" s="823"/>
      <c r="E266" s="823"/>
      <c r="F266" s="823"/>
      <c r="G266" s="823"/>
      <c r="H266" s="823"/>
      <c r="I266" s="823"/>
      <c r="J266" s="823"/>
      <c r="K266" s="536"/>
      <c r="L266" s="536"/>
      <c r="M266" s="536"/>
      <c r="N266" s="536"/>
      <c r="O266" s="536"/>
      <c r="P266" s="536"/>
      <c r="Q266" s="536"/>
      <c r="R266" s="536"/>
      <c r="S266" s="536"/>
      <c r="T266" s="536"/>
      <c r="U266" s="536"/>
      <c r="V266" s="536"/>
      <c r="W266" s="536"/>
      <c r="X266" s="536"/>
      <c r="Y266" s="641"/>
      <c r="Z266" s="641"/>
      <c r="AA266" s="641"/>
      <c r="AB266" s="641"/>
      <c r="AC266" s="536"/>
      <c r="AD266" s="536"/>
      <c r="AE266" s="608"/>
      <c r="AF266" s="608"/>
      <c r="AG266" s="608"/>
      <c r="AH266" s="608"/>
      <c r="AI266" s="608"/>
      <c r="AJ266" s="608"/>
      <c r="AK266" s="608"/>
    </row>
    <row r="267" spans="1:39" hidden="1">
      <c r="A267" s="620"/>
      <c r="B267" s="447" t="s">
        <v>1366</v>
      </c>
      <c r="C267" s="621"/>
      <c r="D267" s="621"/>
      <c r="E267" s="621"/>
      <c r="F267" s="621"/>
      <c r="H267" s="622"/>
      <c r="I267" s="622"/>
      <c r="J267" s="622"/>
      <c r="K267" s="622"/>
      <c r="L267" s="622"/>
      <c r="M267" s="622"/>
      <c r="N267" s="622"/>
      <c r="O267" s="622"/>
      <c r="P267" s="622"/>
      <c r="Q267" s="622"/>
      <c r="R267" s="622"/>
      <c r="Y267" s="622"/>
      <c r="Z267" s="622"/>
      <c r="AA267" s="622"/>
      <c r="AB267" s="620"/>
      <c r="AC267" s="620"/>
      <c r="AD267" s="620"/>
      <c r="AE267" s="620"/>
      <c r="AG267" s="2433">
        <f>AD210*(1-AB265)</f>
        <v>0</v>
      </c>
      <c r="AH267" s="2433"/>
      <c r="AI267" s="2433"/>
      <c r="AJ267" s="2433"/>
      <c r="AK267" s="2433"/>
    </row>
    <row r="268" spans="1:39" hidden="1">
      <c r="A268" s="620"/>
      <c r="B268" s="623" t="s">
        <v>1367</v>
      </c>
      <c r="C268" s="624"/>
      <c r="D268" s="622"/>
      <c r="E268" s="622"/>
      <c r="F268" s="624"/>
      <c r="G268" s="624"/>
      <c r="H268" s="624"/>
      <c r="I268" s="624"/>
      <c r="J268" s="624"/>
      <c r="K268" s="624"/>
      <c r="L268" s="624"/>
      <c r="M268" s="622"/>
      <c r="N268" s="624"/>
      <c r="O268" s="624"/>
      <c r="P268" s="624"/>
      <c r="Q268" s="624"/>
      <c r="R268" s="624"/>
      <c r="Y268" s="622"/>
      <c r="Z268" s="622"/>
      <c r="AA268" s="622"/>
      <c r="AB268" s="620"/>
      <c r="AC268" s="620"/>
      <c r="AD268" s="620"/>
      <c r="AE268" s="620"/>
      <c r="AG268" s="2433">
        <f>'Sources and Uses Budget'!C105</f>
        <v>34183137</v>
      </c>
      <c r="AH268" s="2433"/>
      <c r="AI268" s="2433"/>
      <c r="AJ268" s="2433"/>
      <c r="AK268" s="2433"/>
    </row>
    <row r="269" spans="1:39" hidden="1">
      <c r="A269" s="620"/>
      <c r="B269" s="622" t="s">
        <v>13</v>
      </c>
      <c r="C269" s="622"/>
      <c r="D269" s="622"/>
      <c r="E269" s="622"/>
      <c r="F269" s="622"/>
      <c r="G269" s="622"/>
      <c r="H269" s="622"/>
      <c r="I269" s="622"/>
      <c r="J269" s="622"/>
      <c r="K269" s="622"/>
      <c r="L269" s="622"/>
      <c r="M269" s="622"/>
      <c r="N269" s="622"/>
      <c r="O269" s="622"/>
      <c r="P269" s="622"/>
      <c r="Q269" s="622"/>
      <c r="R269" s="622"/>
      <c r="Y269" s="622"/>
      <c r="Z269" s="622"/>
      <c r="AA269" s="622"/>
      <c r="AB269" s="620"/>
      <c r="AC269" s="620"/>
      <c r="AD269" s="620"/>
      <c r="AE269" s="620"/>
      <c r="AG269" s="2568">
        <f>ROUNDDOWN(IF(AND(C305="Yes",AK83=10),((AG267*2)/AG268),AG267/AG268),2)</f>
        <v>0</v>
      </c>
      <c r="AH269" s="2568"/>
      <c r="AI269" s="2568"/>
      <c r="AJ269" s="2568"/>
      <c r="AK269" s="2568"/>
    </row>
    <row r="270" spans="1:39" hidden="1">
      <c r="A270" s="620"/>
      <c r="B270" s="973" t="s">
        <v>1729</v>
      </c>
      <c r="C270" s="622"/>
      <c r="D270" s="622"/>
      <c r="E270" s="622"/>
      <c r="F270" s="622"/>
      <c r="G270" s="622"/>
      <c r="H270" s="622"/>
      <c r="I270" s="622"/>
      <c r="J270" s="622"/>
      <c r="K270" s="622"/>
      <c r="L270" s="622"/>
      <c r="M270" s="622"/>
      <c r="N270" s="622"/>
      <c r="O270" s="622"/>
      <c r="P270" s="622"/>
      <c r="Q270" s="622"/>
      <c r="R270" s="622"/>
      <c r="Y270" s="622"/>
      <c r="Z270" s="622"/>
      <c r="AA270" s="622"/>
      <c r="AB270" s="620"/>
      <c r="AC270" s="620"/>
      <c r="AD270" s="620"/>
      <c r="AE270" s="620"/>
      <c r="AG270" s="972"/>
      <c r="AH270" s="972"/>
      <c r="AI270" s="972"/>
      <c r="AJ270" s="972"/>
      <c r="AK270" s="972"/>
    </row>
    <row r="271" spans="1:39" hidden="1">
      <c r="A271" s="625"/>
      <c r="B271" s="625"/>
      <c r="C271" s="625"/>
      <c r="D271" s="625"/>
      <c r="E271" s="625"/>
      <c r="F271" s="625"/>
      <c r="G271" s="625"/>
      <c r="H271" s="625"/>
      <c r="I271" s="625"/>
      <c r="J271" s="625"/>
      <c r="K271" s="625"/>
      <c r="L271" s="625"/>
      <c r="M271" s="625"/>
      <c r="N271" s="625"/>
      <c r="O271" s="625"/>
      <c r="P271" s="625"/>
      <c r="Q271" s="625"/>
      <c r="R271" s="625"/>
      <c r="S271" s="625"/>
      <c r="T271" s="625"/>
      <c r="U271" s="625"/>
      <c r="V271" s="625"/>
      <c r="W271" s="625"/>
      <c r="X271" s="625"/>
      <c r="Y271" s="625"/>
      <c r="Z271" s="625"/>
      <c r="AA271" s="625"/>
      <c r="AB271" s="625"/>
      <c r="AC271" s="625"/>
      <c r="AD271" s="625"/>
      <c r="AE271" s="625"/>
      <c r="AF271" s="625"/>
      <c r="AG271" s="625"/>
      <c r="AH271" s="625"/>
      <c r="AI271" s="625"/>
      <c r="AJ271" s="625"/>
    </row>
    <row r="272" spans="1:39" hidden="1">
      <c r="A272" s="626"/>
      <c r="B272" s="626"/>
      <c r="C272" s="626"/>
      <c r="D272" s="626"/>
      <c r="E272" s="626"/>
      <c r="F272" s="626"/>
      <c r="G272" s="626"/>
      <c r="H272" s="626"/>
      <c r="I272" s="626"/>
      <c r="J272" s="626"/>
      <c r="K272" s="626"/>
      <c r="L272" s="626"/>
      <c r="M272" s="626"/>
      <c r="N272" s="626"/>
      <c r="O272" s="626"/>
      <c r="P272" s="626"/>
      <c r="Q272" s="626"/>
      <c r="R272" s="626"/>
      <c r="S272" s="626"/>
      <c r="T272" s="626"/>
      <c r="U272" s="626"/>
      <c r="V272" s="626"/>
      <c r="W272" s="626"/>
      <c r="X272" s="626"/>
      <c r="Y272" s="626"/>
      <c r="Z272" s="626"/>
      <c r="AA272" s="626"/>
      <c r="AB272" s="626"/>
      <c r="AC272" s="626"/>
      <c r="AD272" s="626"/>
      <c r="AE272" s="626"/>
      <c r="AF272" s="626"/>
      <c r="AG272" s="626"/>
      <c r="AH272" s="627"/>
      <c r="AI272" s="563"/>
      <c r="AJ272" s="563" t="s">
        <v>1368</v>
      </c>
      <c r="AK272" s="2558">
        <f>IFERROR(IF(AG269=0,0,IF((AG269*100)&gt;8,8,(AG269*100))),0)</f>
        <v>0</v>
      </c>
      <c r="AL272" s="2558"/>
      <c r="AM272" s="2559"/>
    </row>
    <row r="273" spans="1:52" ht="13.5" hidden="1" thickBot="1"/>
    <row r="274" spans="1:52" s="549" customFormat="1" ht="12.75" customHeight="1" thickTop="1">
      <c r="A274" s="610"/>
      <c r="B274" s="628"/>
      <c r="C274" s="628"/>
      <c r="D274" s="628"/>
      <c r="E274" s="628"/>
      <c r="F274" s="628"/>
      <c r="G274" s="628"/>
      <c r="H274" s="628"/>
      <c r="I274" s="628"/>
      <c r="J274" s="628"/>
      <c r="K274" s="628"/>
      <c r="L274" s="628"/>
      <c r="M274" s="628"/>
      <c r="N274" s="628"/>
      <c r="O274" s="628"/>
      <c r="P274" s="628"/>
      <c r="Q274" s="628"/>
      <c r="R274" s="628"/>
      <c r="S274" s="628"/>
      <c r="T274" s="628"/>
      <c r="U274" s="628"/>
      <c r="V274" s="628"/>
      <c r="W274" s="628"/>
      <c r="X274" s="628"/>
      <c r="Y274" s="628"/>
      <c r="Z274" s="628"/>
      <c r="AA274" s="628"/>
      <c r="AB274" s="628"/>
      <c r="AC274" s="629"/>
      <c r="AD274" s="628"/>
      <c r="AE274" s="628"/>
      <c r="AF274" s="628"/>
      <c r="AG274" s="628"/>
      <c r="AH274" s="610"/>
      <c r="AI274" s="630"/>
      <c r="AJ274" s="630"/>
      <c r="AK274" s="631"/>
      <c r="AL274" s="631"/>
      <c r="AM274" s="632"/>
      <c r="AN274" s="595"/>
      <c r="AP274" s="536"/>
      <c r="AQ274" s="536"/>
      <c r="AR274" s="536"/>
      <c r="AS274" s="536"/>
      <c r="AT274" s="536"/>
      <c r="AU274" s="536"/>
      <c r="AV274" s="536"/>
      <c r="AW274" s="536"/>
      <c r="AX274" s="536"/>
      <c r="AY274" s="536"/>
      <c r="AZ274" s="536"/>
    </row>
    <row r="275" spans="1:52">
      <c r="A275" s="198" t="s">
        <v>1363</v>
      </c>
      <c r="B275" s="538" t="s">
        <v>1370</v>
      </c>
      <c r="C275" s="539"/>
      <c r="D275" s="549"/>
      <c r="E275" s="549"/>
      <c r="F275" s="549"/>
      <c r="G275" s="549"/>
      <c r="H275" s="549"/>
      <c r="I275" s="549"/>
      <c r="J275" s="549"/>
      <c r="K275" s="549"/>
      <c r="L275" s="549"/>
      <c r="M275" s="549"/>
      <c r="N275" s="549"/>
      <c r="O275" s="549"/>
      <c r="P275" s="549"/>
      <c r="Q275" s="549"/>
      <c r="R275" s="549"/>
      <c r="S275" s="549"/>
      <c r="T275" s="549"/>
      <c r="U275" s="549"/>
      <c r="V275" s="549"/>
      <c r="W275" s="549"/>
      <c r="X275" s="549"/>
      <c r="Y275" s="549"/>
      <c r="Z275" s="549"/>
      <c r="AA275" s="549"/>
      <c r="AB275" s="549"/>
      <c r="AC275" s="549"/>
      <c r="AD275" s="549"/>
      <c r="AE275" s="549"/>
      <c r="AF275" s="549"/>
      <c r="AG275" s="549"/>
      <c r="AH275" s="589" t="s">
        <v>1308</v>
      </c>
      <c r="AI275" s="549"/>
      <c r="AJ275" s="549"/>
      <c r="AK275" s="549"/>
      <c r="AL275" s="549"/>
      <c r="AM275" s="549"/>
      <c r="AO275" s="549"/>
    </row>
    <row r="276" spans="1:52">
      <c r="A276" s="198"/>
      <c r="B276" s="538"/>
      <c r="C276" s="539"/>
      <c r="D276" s="549"/>
      <c r="E276" s="549"/>
      <c r="F276" s="549"/>
      <c r="G276" s="549"/>
      <c r="H276" s="549"/>
      <c r="I276" s="549"/>
      <c r="J276" s="549"/>
      <c r="K276" s="549"/>
      <c r="L276" s="549"/>
      <c r="M276" s="549"/>
      <c r="N276" s="549"/>
      <c r="O276" s="549"/>
      <c r="P276" s="549"/>
      <c r="Q276" s="549"/>
      <c r="R276" s="549"/>
      <c r="S276" s="549"/>
      <c r="T276" s="549"/>
      <c r="U276" s="549"/>
      <c r="V276" s="549"/>
      <c r="W276" s="549"/>
      <c r="X276" s="549"/>
      <c r="Y276" s="549"/>
      <c r="Z276" s="549"/>
      <c r="AA276" s="549"/>
      <c r="AB276" s="549"/>
      <c r="AC276" s="549"/>
      <c r="AD276" s="549"/>
      <c r="AE276" s="549"/>
      <c r="AF276" s="549"/>
      <c r="AG276" s="549"/>
      <c r="AH276" s="589"/>
      <c r="AI276" s="549"/>
      <c r="AJ276" s="549"/>
      <c r="AK276" s="549"/>
      <c r="AL276" s="549"/>
      <c r="AM276" s="549"/>
      <c r="AO276" s="549"/>
    </row>
    <row r="277" spans="1:52" ht="14.25" customHeight="1">
      <c r="D277" s="14" t="s">
        <v>2571</v>
      </c>
      <c r="AI277" s="550"/>
      <c r="AJ277" s="549"/>
      <c r="AK277" s="549"/>
      <c r="AL277" s="549"/>
      <c r="AM277" s="549"/>
      <c r="AO277" s="549"/>
    </row>
    <row r="278" spans="1:52" ht="14.25" customHeight="1">
      <c r="AI278" s="550"/>
      <c r="AJ278" s="549"/>
      <c r="AK278" s="549"/>
      <c r="AL278" s="549"/>
      <c r="AM278" s="549"/>
      <c r="AO278" s="549"/>
    </row>
    <row r="279" spans="1:52" ht="13.7" customHeight="1">
      <c r="A279" s="549"/>
      <c r="B279" s="594"/>
      <c r="C279" s="2409" t="s">
        <v>545</v>
      </c>
      <c r="D279" s="2409"/>
      <c r="E279" s="546"/>
      <c r="F279" s="2396" t="s">
        <v>2563</v>
      </c>
      <c r="G279" s="2397"/>
      <c r="H279" s="2397"/>
      <c r="I279" s="2397"/>
      <c r="J279" s="2397"/>
      <c r="K279" s="2397"/>
      <c r="L279" s="2397"/>
      <c r="M279" s="2397"/>
      <c r="N279" s="2397"/>
      <c r="O279" s="2397"/>
      <c r="P279" s="2397"/>
      <c r="Q279" s="2397"/>
      <c r="R279" s="2397"/>
      <c r="S279" s="2397"/>
      <c r="T279" s="2397"/>
      <c r="U279" s="2397"/>
      <c r="V279" s="2397"/>
      <c r="W279" s="2397"/>
      <c r="X279" s="2397"/>
      <c r="Y279" s="2397"/>
      <c r="Z279" s="2397"/>
      <c r="AA279" s="2397"/>
      <c r="AB279" s="2397"/>
      <c r="AC279" s="2397"/>
      <c r="AD279" s="2398"/>
      <c r="AE279" s="549"/>
      <c r="AF279" s="633"/>
      <c r="AG279" s="2566" t="s">
        <v>1357</v>
      </c>
      <c r="AH279" s="2566"/>
      <c r="AI279" s="2566"/>
      <c r="AJ279" s="2566"/>
      <c r="AK279" s="549"/>
      <c r="AL279" s="549"/>
      <c r="AM279" s="549"/>
      <c r="AO279" s="549"/>
    </row>
    <row r="280" spans="1:52" ht="13.7" customHeight="1">
      <c r="A280" s="549"/>
      <c r="B280" s="594"/>
      <c r="C280" s="634"/>
      <c r="D280" s="549"/>
      <c r="E280" s="546"/>
      <c r="F280" s="2399"/>
      <c r="G280" s="2400"/>
      <c r="H280" s="2400"/>
      <c r="I280" s="2400"/>
      <c r="J280" s="2400"/>
      <c r="K280" s="2400"/>
      <c r="L280" s="2400"/>
      <c r="M280" s="2400"/>
      <c r="N280" s="2400"/>
      <c r="O280" s="2400"/>
      <c r="P280" s="2400"/>
      <c r="Q280" s="2400"/>
      <c r="R280" s="2400"/>
      <c r="S280" s="2400"/>
      <c r="T280" s="2400"/>
      <c r="U280" s="2400"/>
      <c r="V280" s="2400"/>
      <c r="W280" s="2400"/>
      <c r="X280" s="2400"/>
      <c r="Y280" s="2400"/>
      <c r="Z280" s="2400"/>
      <c r="AA280" s="2400"/>
      <c r="AB280" s="2400"/>
      <c r="AC280" s="2400"/>
      <c r="AD280" s="2401"/>
      <c r="AE280" s="549"/>
      <c r="AF280" s="633"/>
      <c r="AG280" s="633"/>
      <c r="AH280" s="633"/>
      <c r="AI280" s="633"/>
      <c r="AJ280" s="549"/>
      <c r="AK280" s="549"/>
      <c r="AL280" s="549"/>
      <c r="AM280" s="549"/>
      <c r="AO280" s="549"/>
    </row>
    <row r="281" spans="1:52" ht="13.7" customHeight="1">
      <c r="A281" s="549"/>
      <c r="B281" s="594"/>
      <c r="C281" s="634"/>
      <c r="D281" s="549"/>
      <c r="E281" s="546"/>
      <c r="F281" s="2399"/>
      <c r="G281" s="2400"/>
      <c r="H281" s="2400"/>
      <c r="I281" s="2400"/>
      <c r="J281" s="2400"/>
      <c r="K281" s="2400"/>
      <c r="L281" s="2400"/>
      <c r="M281" s="2400"/>
      <c r="N281" s="2400"/>
      <c r="O281" s="2400"/>
      <c r="P281" s="2400"/>
      <c r="Q281" s="2400"/>
      <c r="R281" s="2400"/>
      <c r="S281" s="2400"/>
      <c r="T281" s="2400"/>
      <c r="U281" s="2400"/>
      <c r="V281" s="2400"/>
      <c r="W281" s="2400"/>
      <c r="X281" s="2400"/>
      <c r="Y281" s="2400"/>
      <c r="Z281" s="2400"/>
      <c r="AA281" s="2400"/>
      <c r="AB281" s="2400"/>
      <c r="AC281" s="2400"/>
      <c r="AD281" s="2401"/>
      <c r="AE281" s="549"/>
      <c r="AF281" s="633"/>
      <c r="AG281" s="633"/>
      <c r="AH281" s="633"/>
      <c r="AI281" s="633"/>
      <c r="AJ281" s="549"/>
      <c r="AK281" s="549"/>
      <c r="AL281" s="549"/>
      <c r="AM281" s="549"/>
      <c r="AO281" s="549"/>
    </row>
    <row r="282" spans="1:52" ht="13.7" customHeight="1">
      <c r="A282" s="549"/>
      <c r="B282" s="594"/>
      <c r="C282" s="634"/>
      <c r="D282" s="549"/>
      <c r="E282" s="546"/>
      <c r="F282" s="2399"/>
      <c r="G282" s="2400"/>
      <c r="H282" s="2400"/>
      <c r="I282" s="2400"/>
      <c r="J282" s="2400"/>
      <c r="K282" s="2400"/>
      <c r="L282" s="2400"/>
      <c r="M282" s="2400"/>
      <c r="N282" s="2400"/>
      <c r="O282" s="2400"/>
      <c r="P282" s="2400"/>
      <c r="Q282" s="2400"/>
      <c r="R282" s="2400"/>
      <c r="S282" s="2400"/>
      <c r="T282" s="2400"/>
      <c r="U282" s="2400"/>
      <c r="V282" s="2400"/>
      <c r="W282" s="2400"/>
      <c r="X282" s="2400"/>
      <c r="Y282" s="2400"/>
      <c r="Z282" s="2400"/>
      <c r="AA282" s="2400"/>
      <c r="AB282" s="2400"/>
      <c r="AC282" s="2400"/>
      <c r="AD282" s="2401"/>
      <c r="AE282" s="549"/>
      <c r="AF282" s="633"/>
      <c r="AG282" s="633"/>
      <c r="AH282" s="633"/>
      <c r="AI282" s="633"/>
      <c r="AJ282" s="549"/>
      <c r="AK282" s="549"/>
      <c r="AL282" s="549"/>
      <c r="AM282" s="549"/>
      <c r="AO282" s="549"/>
    </row>
    <row r="283" spans="1:52" ht="13.7" customHeight="1">
      <c r="A283" s="549"/>
      <c r="B283" s="594"/>
      <c r="C283" s="634"/>
      <c r="D283" s="549"/>
      <c r="E283" s="546"/>
      <c r="F283" s="2399"/>
      <c r="G283" s="2400"/>
      <c r="H283" s="2400"/>
      <c r="I283" s="2400"/>
      <c r="J283" s="2400"/>
      <c r="K283" s="2400"/>
      <c r="L283" s="2400"/>
      <c r="M283" s="2400"/>
      <c r="N283" s="2400"/>
      <c r="O283" s="2400"/>
      <c r="P283" s="2400"/>
      <c r="Q283" s="2400"/>
      <c r="R283" s="2400"/>
      <c r="S283" s="2400"/>
      <c r="T283" s="2400"/>
      <c r="U283" s="2400"/>
      <c r="V283" s="2400"/>
      <c r="W283" s="2400"/>
      <c r="X283" s="2400"/>
      <c r="Y283" s="2400"/>
      <c r="Z283" s="2400"/>
      <c r="AA283" s="2400"/>
      <c r="AB283" s="2400"/>
      <c r="AC283" s="2400"/>
      <c r="AD283" s="2401"/>
      <c r="AE283" s="549"/>
      <c r="AF283" s="633"/>
      <c r="AG283" s="633"/>
      <c r="AH283" s="633"/>
      <c r="AI283" s="633"/>
      <c r="AJ283" s="549"/>
      <c r="AK283" s="549"/>
      <c r="AL283" s="549"/>
      <c r="AM283" s="549"/>
      <c r="AO283" s="549"/>
    </row>
    <row r="284" spans="1:52">
      <c r="A284" s="549"/>
      <c r="B284" s="594"/>
      <c r="C284" s="634"/>
      <c r="D284" s="549"/>
      <c r="E284" s="546"/>
      <c r="F284" s="2399"/>
      <c r="G284" s="2400"/>
      <c r="H284" s="2400"/>
      <c r="I284" s="2400"/>
      <c r="J284" s="2400"/>
      <c r="K284" s="2400"/>
      <c r="L284" s="2400"/>
      <c r="M284" s="2400"/>
      <c r="N284" s="2400"/>
      <c r="O284" s="2400"/>
      <c r="P284" s="2400"/>
      <c r="Q284" s="2400"/>
      <c r="R284" s="2400"/>
      <c r="S284" s="2400"/>
      <c r="T284" s="2400"/>
      <c r="U284" s="2400"/>
      <c r="V284" s="2400"/>
      <c r="W284" s="2400"/>
      <c r="X284" s="2400"/>
      <c r="Y284" s="2400"/>
      <c r="Z284" s="2400"/>
      <c r="AA284" s="2400"/>
      <c r="AB284" s="2400"/>
      <c r="AC284" s="2400"/>
      <c r="AD284" s="2401"/>
      <c r="AE284" s="549"/>
      <c r="AF284" s="633"/>
      <c r="AG284" s="633"/>
      <c r="AH284" s="633"/>
      <c r="AI284" s="633"/>
      <c r="AJ284" s="549"/>
      <c r="AK284" s="549"/>
      <c r="AL284" s="549"/>
      <c r="AM284" s="549"/>
      <c r="AO284" s="549"/>
      <c r="AP284" s="635"/>
    </row>
    <row r="285" spans="1:52">
      <c r="A285" s="549"/>
      <c r="B285" s="594"/>
      <c r="C285" s="634"/>
      <c r="D285" s="549"/>
      <c r="E285" s="546"/>
      <c r="F285" s="2399"/>
      <c r="G285" s="2400"/>
      <c r="H285" s="2400"/>
      <c r="I285" s="2400"/>
      <c r="J285" s="2400"/>
      <c r="K285" s="2400"/>
      <c r="L285" s="2400"/>
      <c r="M285" s="2400"/>
      <c r="N285" s="2400"/>
      <c r="O285" s="2400"/>
      <c r="P285" s="2400"/>
      <c r="Q285" s="2400"/>
      <c r="R285" s="2400"/>
      <c r="S285" s="2400"/>
      <c r="T285" s="2400"/>
      <c r="U285" s="2400"/>
      <c r="V285" s="2400"/>
      <c r="W285" s="2400"/>
      <c r="X285" s="2400"/>
      <c r="Y285" s="2400"/>
      <c r="Z285" s="2400"/>
      <c r="AA285" s="2400"/>
      <c r="AB285" s="2400"/>
      <c r="AC285" s="2400"/>
      <c r="AD285" s="2401"/>
      <c r="AE285" s="549"/>
      <c r="AF285" s="633"/>
      <c r="AG285" s="633"/>
      <c r="AH285" s="633"/>
      <c r="AI285" s="633"/>
      <c r="AJ285" s="549"/>
      <c r="AK285" s="549"/>
      <c r="AL285" s="549"/>
      <c r="AM285" s="549"/>
      <c r="AO285" s="549"/>
      <c r="AP285" s="635"/>
    </row>
    <row r="286" spans="1:52" ht="13.7" customHeight="1">
      <c r="A286" s="549"/>
      <c r="B286" s="594"/>
      <c r="C286" s="2567"/>
      <c r="D286" s="2567"/>
      <c r="E286" s="546"/>
      <c r="F286" s="2402"/>
      <c r="G286" s="2403"/>
      <c r="H286" s="2403"/>
      <c r="I286" s="2403"/>
      <c r="J286" s="2403"/>
      <c r="K286" s="2403"/>
      <c r="L286" s="2403"/>
      <c r="M286" s="2403"/>
      <c r="N286" s="2403"/>
      <c r="O286" s="2403"/>
      <c r="P286" s="2403"/>
      <c r="Q286" s="2403"/>
      <c r="R286" s="2403"/>
      <c r="S286" s="2403"/>
      <c r="T286" s="2403"/>
      <c r="U286" s="2403"/>
      <c r="V286" s="2403"/>
      <c r="W286" s="2403"/>
      <c r="X286" s="2403"/>
      <c r="Y286" s="2403"/>
      <c r="Z286" s="2403"/>
      <c r="AA286" s="2403"/>
      <c r="AB286" s="2403"/>
      <c r="AC286" s="2403"/>
      <c r="AD286" s="2404"/>
      <c r="AE286" s="549"/>
      <c r="AF286" s="633"/>
      <c r="AG286" s="2566"/>
      <c r="AH286" s="2566"/>
      <c r="AI286" s="2566"/>
      <c r="AJ286" s="2566"/>
      <c r="AK286" s="549"/>
      <c r="AL286" s="549"/>
      <c r="AM286" s="549"/>
    </row>
    <row r="287" spans="1:52" ht="13.7" hidden="1" customHeight="1">
      <c r="A287" s="549"/>
      <c r="C287" s="601"/>
      <c r="D287" s="601"/>
      <c r="E287" s="601"/>
      <c r="F287" s="1018"/>
      <c r="G287" s="1019"/>
      <c r="H287" s="1019"/>
      <c r="I287" s="1019"/>
      <c r="J287" s="1019"/>
      <c r="K287" s="1019"/>
      <c r="L287" s="1019"/>
      <c r="M287" s="1019"/>
      <c r="N287" s="1019"/>
      <c r="O287" s="1019"/>
      <c r="P287" s="1019"/>
      <c r="Q287" s="1019"/>
      <c r="R287" s="1019"/>
      <c r="S287" s="1019"/>
      <c r="T287" s="1019"/>
      <c r="U287" s="1019"/>
      <c r="V287" s="1019"/>
      <c r="W287" s="1019"/>
      <c r="X287" s="1019"/>
      <c r="Y287" s="1019"/>
      <c r="Z287" s="1019"/>
      <c r="AA287" s="1019"/>
      <c r="AB287" s="1019"/>
      <c r="AC287" s="1019"/>
      <c r="AD287" s="1020"/>
      <c r="AE287" s="601"/>
      <c r="AF287" s="601"/>
      <c r="AG287" s="601"/>
      <c r="AH287" s="601"/>
      <c r="AI287" s="633"/>
      <c r="AJ287" s="549"/>
      <c r="AK287" s="549"/>
      <c r="AL287" s="549"/>
      <c r="AM287" s="549"/>
    </row>
    <row r="288" spans="1:52">
      <c r="A288" s="549"/>
      <c r="B288" s="601"/>
      <c r="C288" s="601"/>
      <c r="D288" s="601"/>
      <c r="E288" s="601"/>
      <c r="F288" s="601"/>
      <c r="G288" s="601"/>
      <c r="H288" s="601"/>
      <c r="I288" s="601"/>
      <c r="J288" s="601"/>
      <c r="K288" s="601"/>
      <c r="L288" s="601"/>
      <c r="M288" s="601"/>
      <c r="N288" s="601"/>
      <c r="O288" s="601"/>
      <c r="P288" s="601"/>
      <c r="Q288" s="601"/>
      <c r="R288" s="601"/>
      <c r="S288" s="601"/>
      <c r="T288" s="601"/>
      <c r="U288" s="601"/>
      <c r="V288" s="601"/>
      <c r="W288" s="601"/>
      <c r="X288" s="601"/>
      <c r="Y288" s="601"/>
      <c r="Z288" s="601"/>
      <c r="AA288" s="601"/>
      <c r="AB288" s="601"/>
      <c r="AC288" s="601"/>
      <c r="AD288" s="601"/>
      <c r="AE288" s="601"/>
      <c r="AF288" s="601"/>
      <c r="AG288" s="601"/>
      <c r="AH288" s="601"/>
      <c r="AI288" s="601"/>
      <c r="AJ288" s="601"/>
      <c r="AK288" s="601"/>
      <c r="AL288" s="549"/>
      <c r="AM288" s="549"/>
      <c r="AN288" s="73"/>
    </row>
    <row r="289" spans="1:49">
      <c r="A289" s="549"/>
      <c r="B289" s="2438" t="s">
        <v>2570</v>
      </c>
      <c r="C289" s="2438"/>
      <c r="D289" s="2438"/>
      <c r="E289" s="2438"/>
      <c r="F289" s="2438"/>
      <c r="G289" s="2438"/>
      <c r="H289" s="2438"/>
      <c r="I289" s="2438"/>
      <c r="J289" s="2438"/>
      <c r="K289" s="2438"/>
      <c r="L289" s="2438"/>
      <c r="M289" s="2438"/>
      <c r="N289" s="2438"/>
      <c r="O289" s="2438"/>
      <c r="P289" s="2438"/>
      <c r="Q289" s="2438"/>
      <c r="R289" s="2438"/>
      <c r="S289" s="2438"/>
      <c r="T289" s="2438"/>
      <c r="U289" s="2438"/>
      <c r="V289" s="2438"/>
      <c r="W289" s="2438"/>
      <c r="X289" s="2438"/>
      <c r="Y289" s="2438"/>
      <c r="Z289" s="2438"/>
      <c r="AA289" s="2438"/>
      <c r="AB289" s="2438"/>
      <c r="AC289" s="2438"/>
      <c r="AD289" s="2438"/>
      <c r="AE289" s="2438"/>
      <c r="AF289" s="2438"/>
      <c r="AG289" s="2438"/>
      <c r="AH289" s="2438"/>
      <c r="AI289" s="2438"/>
      <c r="AJ289" s="2438"/>
      <c r="AK289" s="2438"/>
      <c r="AL289" s="2438"/>
      <c r="AM289" s="549"/>
      <c r="AN289" s="73"/>
    </row>
    <row r="290" spans="1:49">
      <c r="A290" s="549"/>
      <c r="B290" s="2438"/>
      <c r="C290" s="2438"/>
      <c r="D290" s="2438"/>
      <c r="E290" s="2438"/>
      <c r="F290" s="2438"/>
      <c r="G290" s="2438"/>
      <c r="H290" s="2438"/>
      <c r="I290" s="2438"/>
      <c r="J290" s="2438"/>
      <c r="K290" s="2438"/>
      <c r="L290" s="2438"/>
      <c r="M290" s="2438"/>
      <c r="N290" s="2438"/>
      <c r="O290" s="2438"/>
      <c r="P290" s="2438"/>
      <c r="Q290" s="2438"/>
      <c r="R290" s="2438"/>
      <c r="S290" s="2438"/>
      <c r="T290" s="2438"/>
      <c r="U290" s="2438"/>
      <c r="V290" s="2438"/>
      <c r="W290" s="2438"/>
      <c r="X290" s="2438"/>
      <c r="Y290" s="2438"/>
      <c r="Z290" s="2438"/>
      <c r="AA290" s="2438"/>
      <c r="AB290" s="2438"/>
      <c r="AC290" s="2438"/>
      <c r="AD290" s="2438"/>
      <c r="AE290" s="2438"/>
      <c r="AF290" s="2438"/>
      <c r="AG290" s="2438"/>
      <c r="AH290" s="2438"/>
      <c r="AI290" s="2438"/>
      <c r="AJ290" s="2438"/>
      <c r="AK290" s="2438"/>
      <c r="AL290" s="2438"/>
      <c r="AM290" s="549"/>
      <c r="AN290" s="73"/>
    </row>
    <row r="291" spans="1:49">
      <c r="A291" s="549"/>
      <c r="B291" s="2438"/>
      <c r="C291" s="2438"/>
      <c r="D291" s="2438"/>
      <c r="E291" s="2438"/>
      <c r="F291" s="2438"/>
      <c r="G291" s="2438"/>
      <c r="H291" s="2438"/>
      <c r="I291" s="2438"/>
      <c r="J291" s="2438"/>
      <c r="K291" s="2438"/>
      <c r="L291" s="2438"/>
      <c r="M291" s="2438"/>
      <c r="N291" s="2438"/>
      <c r="O291" s="2438"/>
      <c r="P291" s="2438"/>
      <c r="Q291" s="2438"/>
      <c r="R291" s="2438"/>
      <c r="S291" s="2438"/>
      <c r="T291" s="2438"/>
      <c r="U291" s="2438"/>
      <c r="V291" s="2438"/>
      <c r="W291" s="2438"/>
      <c r="X291" s="2438"/>
      <c r="Y291" s="2438"/>
      <c r="Z291" s="2438"/>
      <c r="AA291" s="2438"/>
      <c r="AB291" s="2438"/>
      <c r="AC291" s="2438"/>
      <c r="AD291" s="2438"/>
      <c r="AE291" s="2438"/>
      <c r="AF291" s="2438"/>
      <c r="AG291" s="2438"/>
      <c r="AH291" s="2438"/>
      <c r="AI291" s="2438"/>
      <c r="AJ291" s="2438"/>
      <c r="AK291" s="2438"/>
      <c r="AL291" s="2438"/>
      <c r="AM291" s="549"/>
      <c r="AN291" s="73"/>
    </row>
    <row r="292" spans="1:49">
      <c r="A292" s="549"/>
      <c r="B292" s="2438"/>
      <c r="C292" s="2438"/>
      <c r="D292" s="2438"/>
      <c r="E292" s="2438"/>
      <c r="F292" s="2438"/>
      <c r="G292" s="2438"/>
      <c r="H292" s="2438"/>
      <c r="I292" s="2438"/>
      <c r="J292" s="2438"/>
      <c r="K292" s="2438"/>
      <c r="L292" s="2438"/>
      <c r="M292" s="2438"/>
      <c r="N292" s="2438"/>
      <c r="O292" s="2438"/>
      <c r="P292" s="2438"/>
      <c r="Q292" s="2438"/>
      <c r="R292" s="2438"/>
      <c r="S292" s="2438"/>
      <c r="T292" s="2438"/>
      <c r="U292" s="2438"/>
      <c r="V292" s="2438"/>
      <c r="W292" s="2438"/>
      <c r="X292" s="2438"/>
      <c r="Y292" s="2438"/>
      <c r="Z292" s="2438"/>
      <c r="AA292" s="2438"/>
      <c r="AB292" s="2438"/>
      <c r="AC292" s="2438"/>
      <c r="AD292" s="2438"/>
      <c r="AE292" s="2438"/>
      <c r="AF292" s="2438"/>
      <c r="AG292" s="2438"/>
      <c r="AH292" s="2438"/>
      <c r="AI292" s="2438"/>
      <c r="AJ292" s="2438"/>
      <c r="AK292" s="2438"/>
      <c r="AL292" s="2438"/>
      <c r="AM292" s="549"/>
      <c r="AN292" s="73"/>
    </row>
    <row r="293" spans="1:49">
      <c r="A293" s="549"/>
      <c r="B293" s="2438"/>
      <c r="C293" s="2438"/>
      <c r="D293" s="2438"/>
      <c r="E293" s="2438"/>
      <c r="F293" s="2438"/>
      <c r="G293" s="2438"/>
      <c r="H293" s="2438"/>
      <c r="I293" s="2438"/>
      <c r="J293" s="2438"/>
      <c r="K293" s="2438"/>
      <c r="L293" s="2438"/>
      <c r="M293" s="2438"/>
      <c r="N293" s="2438"/>
      <c r="O293" s="2438"/>
      <c r="P293" s="2438"/>
      <c r="Q293" s="2438"/>
      <c r="R293" s="2438"/>
      <c r="S293" s="2438"/>
      <c r="T293" s="2438"/>
      <c r="U293" s="2438"/>
      <c r="V293" s="2438"/>
      <c r="W293" s="2438"/>
      <c r="X293" s="2438"/>
      <c r="Y293" s="2438"/>
      <c r="Z293" s="2438"/>
      <c r="AA293" s="2438"/>
      <c r="AB293" s="2438"/>
      <c r="AC293" s="2438"/>
      <c r="AD293" s="2438"/>
      <c r="AE293" s="2438"/>
      <c r="AF293" s="2438"/>
      <c r="AG293" s="2438"/>
      <c r="AH293" s="2438"/>
      <c r="AI293" s="2438"/>
      <c r="AJ293" s="2438"/>
      <c r="AK293" s="2438"/>
      <c r="AL293" s="2438"/>
      <c r="AM293" s="549"/>
      <c r="AN293" s="73"/>
    </row>
    <row r="294" spans="1:49">
      <c r="A294" s="549"/>
      <c r="B294" s="2438"/>
      <c r="C294" s="2438"/>
      <c r="D294" s="2438"/>
      <c r="E294" s="2438"/>
      <c r="F294" s="2438"/>
      <c r="G294" s="2438"/>
      <c r="H294" s="2438"/>
      <c r="I294" s="2438"/>
      <c r="J294" s="2438"/>
      <c r="K294" s="2438"/>
      <c r="L294" s="2438"/>
      <c r="M294" s="2438"/>
      <c r="N294" s="2438"/>
      <c r="O294" s="2438"/>
      <c r="P294" s="2438"/>
      <c r="Q294" s="2438"/>
      <c r="R294" s="2438"/>
      <c r="S294" s="2438"/>
      <c r="T294" s="2438"/>
      <c r="U294" s="2438"/>
      <c r="V294" s="2438"/>
      <c r="W294" s="2438"/>
      <c r="X294" s="2438"/>
      <c r="Y294" s="2438"/>
      <c r="Z294" s="2438"/>
      <c r="AA294" s="2438"/>
      <c r="AB294" s="2438"/>
      <c r="AC294" s="2438"/>
      <c r="AD294" s="2438"/>
      <c r="AE294" s="2438"/>
      <c r="AF294" s="2438"/>
      <c r="AG294" s="2438"/>
      <c r="AH294" s="2438"/>
      <c r="AI294" s="2438"/>
      <c r="AJ294" s="2438"/>
      <c r="AK294" s="2438"/>
      <c r="AL294" s="2438"/>
      <c r="AM294" s="549"/>
      <c r="AN294" s="73"/>
    </row>
    <row r="295" spans="1:49">
      <c r="A295" s="549"/>
      <c r="B295" s="2438"/>
      <c r="C295" s="2438"/>
      <c r="D295" s="2438"/>
      <c r="E295" s="2438"/>
      <c r="F295" s="2438"/>
      <c r="G295" s="2438"/>
      <c r="H295" s="2438"/>
      <c r="I295" s="2438"/>
      <c r="J295" s="2438"/>
      <c r="K295" s="2438"/>
      <c r="L295" s="2438"/>
      <c r="M295" s="2438"/>
      <c r="N295" s="2438"/>
      <c r="O295" s="2438"/>
      <c r="P295" s="2438"/>
      <c r="Q295" s="2438"/>
      <c r="R295" s="2438"/>
      <c r="S295" s="2438"/>
      <c r="T295" s="2438"/>
      <c r="U295" s="2438"/>
      <c r="V295" s="2438"/>
      <c r="W295" s="2438"/>
      <c r="X295" s="2438"/>
      <c r="Y295" s="2438"/>
      <c r="Z295" s="2438"/>
      <c r="AA295" s="2438"/>
      <c r="AB295" s="2438"/>
      <c r="AC295" s="2438"/>
      <c r="AD295" s="2438"/>
      <c r="AE295" s="2438"/>
      <c r="AF295" s="2438"/>
      <c r="AG295" s="2438"/>
      <c r="AH295" s="2438"/>
      <c r="AI295" s="2438"/>
      <c r="AJ295" s="2438"/>
      <c r="AK295" s="2438"/>
      <c r="AL295" s="2438"/>
      <c r="AM295" s="549"/>
      <c r="AN295" s="73"/>
    </row>
    <row r="296" spans="1:49">
      <c r="A296" s="549"/>
      <c r="B296" s="2438"/>
      <c r="C296" s="2438"/>
      <c r="D296" s="2438"/>
      <c r="E296" s="2438"/>
      <c r="F296" s="2438"/>
      <c r="G296" s="2438"/>
      <c r="H296" s="2438"/>
      <c r="I296" s="2438"/>
      <c r="J296" s="2438"/>
      <c r="K296" s="2438"/>
      <c r="L296" s="2438"/>
      <c r="M296" s="2438"/>
      <c r="N296" s="2438"/>
      <c r="O296" s="2438"/>
      <c r="P296" s="2438"/>
      <c r="Q296" s="2438"/>
      <c r="R296" s="2438"/>
      <c r="S296" s="2438"/>
      <c r="T296" s="2438"/>
      <c r="U296" s="2438"/>
      <c r="V296" s="2438"/>
      <c r="W296" s="2438"/>
      <c r="X296" s="2438"/>
      <c r="Y296" s="2438"/>
      <c r="Z296" s="2438"/>
      <c r="AA296" s="2438"/>
      <c r="AB296" s="2438"/>
      <c r="AC296" s="2438"/>
      <c r="AD296" s="2438"/>
      <c r="AE296" s="2438"/>
      <c r="AF296" s="2438"/>
      <c r="AG296" s="2438"/>
      <c r="AH296" s="2438"/>
      <c r="AI296" s="2438"/>
      <c r="AJ296" s="2438"/>
      <c r="AK296" s="2438"/>
      <c r="AL296" s="2438"/>
      <c r="AM296" s="549"/>
      <c r="AN296" s="73"/>
    </row>
    <row r="297" spans="1:49">
      <c r="A297" s="549"/>
      <c r="B297" s="601"/>
      <c r="C297" s="601"/>
      <c r="D297" s="601"/>
      <c r="E297" s="601"/>
      <c r="F297" s="601"/>
      <c r="G297" s="601"/>
      <c r="H297" s="601"/>
      <c r="I297" s="601"/>
      <c r="J297" s="601"/>
      <c r="K297" s="601"/>
      <c r="L297" s="601"/>
      <c r="M297" s="601"/>
      <c r="N297" s="601"/>
      <c r="O297" s="601"/>
      <c r="P297" s="601"/>
      <c r="Q297" s="601"/>
      <c r="R297" s="601"/>
      <c r="S297" s="601"/>
      <c r="T297" s="601"/>
      <c r="U297" s="601"/>
      <c r="V297" s="601"/>
      <c r="W297" s="601"/>
      <c r="X297" s="601"/>
      <c r="Y297" s="601"/>
      <c r="Z297" s="601"/>
      <c r="AA297" s="601"/>
      <c r="AB297" s="601"/>
      <c r="AC297" s="601"/>
      <c r="AD297" s="601"/>
      <c r="AE297" s="601"/>
      <c r="AF297" s="601"/>
      <c r="AG297" s="601"/>
      <c r="AH297" s="601"/>
      <c r="AI297" s="601"/>
      <c r="AJ297" s="601"/>
      <c r="AK297" s="601"/>
      <c r="AL297" s="549"/>
      <c r="AM297" s="549"/>
      <c r="AN297" s="73"/>
    </row>
    <row r="298" spans="1:49">
      <c r="A298" s="604"/>
      <c r="B298" s="562"/>
      <c r="C298" s="562"/>
      <c r="D298" s="562"/>
      <c r="E298" s="562"/>
      <c r="F298" s="562"/>
      <c r="G298" s="562"/>
      <c r="H298" s="562"/>
      <c r="I298" s="562"/>
      <c r="J298" s="562"/>
      <c r="K298" s="562"/>
      <c r="L298" s="562"/>
      <c r="M298" s="562"/>
      <c r="N298" s="562"/>
      <c r="O298" s="562"/>
      <c r="P298" s="562"/>
      <c r="Q298" s="562"/>
      <c r="R298" s="562"/>
      <c r="S298" s="562"/>
      <c r="T298" s="562"/>
      <c r="U298" s="562"/>
      <c r="V298" s="562"/>
      <c r="W298" s="562"/>
      <c r="X298" s="562"/>
      <c r="Y298" s="562"/>
      <c r="Z298" s="562"/>
      <c r="AA298" s="562"/>
      <c r="AB298" s="562"/>
      <c r="AC298" s="562"/>
      <c r="AD298" s="562"/>
      <c r="AE298" s="562"/>
      <c r="AF298" s="562"/>
      <c r="AG298" s="562"/>
      <c r="AH298" s="562"/>
      <c r="AI298" s="563"/>
      <c r="AJ298" s="563" t="s">
        <v>1372</v>
      </c>
      <c r="AK298" s="2558">
        <f>IF($C$279="yes",10,0)</f>
        <v>10</v>
      </c>
      <c r="AL298" s="2558"/>
      <c r="AM298" s="2559"/>
      <c r="AN298" s="73"/>
    </row>
    <row r="299" spans="1:49" ht="13.5" thickBot="1"/>
    <row r="300" spans="1:49" ht="13.5" thickTop="1">
      <c r="A300" s="636"/>
      <c r="B300" s="636"/>
      <c r="C300" s="636"/>
      <c r="D300" s="636"/>
      <c r="E300" s="636"/>
      <c r="F300" s="636"/>
      <c r="G300" s="636"/>
      <c r="H300" s="636"/>
      <c r="I300" s="636"/>
      <c r="J300" s="636"/>
      <c r="K300" s="636"/>
      <c r="L300" s="636"/>
      <c r="M300" s="636"/>
      <c r="N300" s="636"/>
      <c r="O300" s="636"/>
      <c r="P300" s="636"/>
      <c r="Q300" s="636"/>
      <c r="R300" s="636"/>
      <c r="S300" s="636"/>
      <c r="T300" s="636"/>
      <c r="U300" s="636"/>
      <c r="V300" s="636"/>
      <c r="W300" s="636"/>
      <c r="X300" s="636"/>
      <c r="Y300" s="636"/>
      <c r="Z300" s="636"/>
      <c r="AA300" s="636"/>
      <c r="AB300" s="636"/>
      <c r="AC300" s="636"/>
      <c r="AD300" s="636"/>
      <c r="AE300" s="636"/>
      <c r="AF300" s="636"/>
      <c r="AG300" s="636"/>
      <c r="AH300" s="636"/>
      <c r="AI300" s="636"/>
      <c r="AJ300" s="636"/>
      <c r="AK300" s="636"/>
      <c r="AL300" s="636"/>
      <c r="AM300" s="637"/>
    </row>
    <row r="301" spans="1:49">
      <c r="A301" s="538" t="s">
        <v>1369</v>
      </c>
      <c r="B301" s="538" t="s">
        <v>2564</v>
      </c>
      <c r="AH301" s="589" t="s">
        <v>1308</v>
      </c>
    </row>
    <row r="302" spans="1:49" ht="15" customHeight="1">
      <c r="B302" s="539"/>
    </row>
    <row r="303" spans="1:49" ht="15" customHeight="1">
      <c r="B303" s="539" t="s">
        <v>1717</v>
      </c>
    </row>
    <row r="304" spans="1:49">
      <c r="B304" s="549"/>
      <c r="C304" s="638"/>
      <c r="D304" s="549"/>
      <c r="E304" s="549"/>
      <c r="F304" s="549"/>
      <c r="G304" s="549"/>
      <c r="H304" s="549"/>
      <c r="I304" s="549"/>
      <c r="J304" s="549"/>
      <c r="K304" s="549"/>
      <c r="L304" s="549"/>
      <c r="M304" s="549"/>
      <c r="N304" s="549"/>
      <c r="O304" s="549"/>
      <c r="P304" s="549"/>
      <c r="Q304" s="549"/>
      <c r="R304" s="549"/>
      <c r="S304" s="549"/>
      <c r="T304" s="549"/>
      <c r="U304" s="549"/>
      <c r="V304" s="549"/>
      <c r="W304" s="549"/>
      <c r="X304" s="549"/>
      <c r="Y304" s="549"/>
      <c r="Z304" s="549"/>
      <c r="AA304" s="549"/>
      <c r="AB304" s="549"/>
      <c r="AC304" s="549"/>
      <c r="AD304" s="549"/>
      <c r="AG304" s="549"/>
      <c r="AI304" s="549"/>
      <c r="AJ304" s="549"/>
      <c r="AK304" s="549"/>
      <c r="AL304" s="549"/>
      <c r="AM304" s="549"/>
      <c r="AN304" s="73"/>
      <c r="AO304" s="14"/>
      <c r="AP304" s="568"/>
      <c r="AQ304" s="639"/>
      <c r="AR304" s="568"/>
      <c r="AS304" s="568"/>
      <c r="AT304" s="568"/>
      <c r="AU304" s="568"/>
      <c r="AV304" s="32"/>
      <c r="AW304" s="32"/>
    </row>
    <row r="305" spans="1:49" ht="12.75" customHeight="1">
      <c r="A305" s="1577" t="s">
        <v>1374</v>
      </c>
      <c r="B305" s="1577"/>
      <c r="C305" s="2395" t="s">
        <v>591</v>
      </c>
      <c r="D305" s="2409"/>
      <c r="E305" s="546"/>
      <c r="F305" s="2560" t="s">
        <v>1375</v>
      </c>
      <c r="G305" s="2561"/>
      <c r="H305" s="2561"/>
      <c r="I305" s="2561"/>
      <c r="J305" s="2561"/>
      <c r="K305" s="2561"/>
      <c r="L305" s="2561"/>
      <c r="M305" s="2561"/>
      <c r="N305" s="2561"/>
      <c r="O305" s="2561"/>
      <c r="P305" s="2561"/>
      <c r="Q305" s="2561"/>
      <c r="R305" s="2561"/>
      <c r="S305" s="2561"/>
      <c r="T305" s="2561"/>
      <c r="U305" s="2561"/>
      <c r="V305" s="2561"/>
      <c r="W305" s="2561"/>
      <c r="X305" s="2561"/>
      <c r="Y305" s="2561"/>
      <c r="Z305" s="2561"/>
      <c r="AA305" s="2561"/>
      <c r="AB305" s="2561"/>
      <c r="AC305" s="2561"/>
      <c r="AD305" s="2562"/>
      <c r="AE305" s="640"/>
      <c r="AF305" s="549"/>
      <c r="AG305" s="2563" t="s">
        <v>1981</v>
      </c>
      <c r="AH305" s="2563"/>
      <c r="AI305" s="2563"/>
      <c r="AJ305" s="2563"/>
      <c r="AK305" s="2563"/>
      <c r="AL305" s="549"/>
      <c r="AM305" s="549"/>
      <c r="AN305" s="73"/>
      <c r="AO305" s="14"/>
      <c r="AP305" s="30"/>
      <c r="AS305" s="568"/>
      <c r="AT305" s="568"/>
      <c r="AU305" s="568"/>
      <c r="AV305" s="32"/>
      <c r="AW305" s="32"/>
    </row>
    <row r="306" spans="1:49">
      <c r="A306" s="638"/>
      <c r="B306" s="594"/>
      <c r="F306" s="2429"/>
      <c r="G306" s="2387"/>
      <c r="H306" s="2387"/>
      <c r="I306" s="2387"/>
      <c r="J306" s="2387"/>
      <c r="K306" s="2387"/>
      <c r="L306" s="2387"/>
      <c r="M306" s="2387"/>
      <c r="N306" s="2387"/>
      <c r="O306" s="2387"/>
      <c r="P306" s="2387"/>
      <c r="Q306" s="2387"/>
      <c r="R306" s="2387"/>
      <c r="S306" s="2387"/>
      <c r="T306" s="2387"/>
      <c r="U306" s="2387"/>
      <c r="V306" s="2387"/>
      <c r="W306" s="2387"/>
      <c r="X306" s="2387"/>
      <c r="Y306" s="2387"/>
      <c r="Z306" s="2387"/>
      <c r="AA306" s="2387"/>
      <c r="AB306" s="2387"/>
      <c r="AC306" s="2387"/>
      <c r="AD306" s="2430"/>
      <c r="AE306" s="640"/>
      <c r="AF306" s="550"/>
      <c r="AH306" s="550"/>
      <c r="AI306" s="550"/>
      <c r="AJ306" s="549"/>
      <c r="AK306" s="549"/>
      <c r="AL306" s="549"/>
      <c r="AM306" s="549"/>
      <c r="AN306" s="73"/>
      <c r="AO306" s="14"/>
      <c r="AP306" s="549">
        <f>IF($C$305="yes",10,IF(C305="50% Met",9,0))</f>
        <v>0</v>
      </c>
      <c r="AS306" s="568"/>
      <c r="AT306" s="568"/>
      <c r="AU306" s="568"/>
      <c r="AV306" s="32"/>
      <c r="AW306" s="32"/>
    </row>
    <row r="307" spans="1:49" ht="12.75" customHeight="1">
      <c r="A307" s="638"/>
      <c r="B307" s="594"/>
      <c r="F307" s="2429"/>
      <c r="G307" s="2387"/>
      <c r="H307" s="2387"/>
      <c r="I307" s="2387"/>
      <c r="J307" s="2387"/>
      <c r="K307" s="2387"/>
      <c r="L307" s="2387"/>
      <c r="M307" s="2387"/>
      <c r="N307" s="2387"/>
      <c r="O307" s="2387"/>
      <c r="P307" s="2387"/>
      <c r="Q307" s="2387"/>
      <c r="R307" s="2387"/>
      <c r="S307" s="2387"/>
      <c r="T307" s="2387"/>
      <c r="U307" s="2387"/>
      <c r="V307" s="2387"/>
      <c r="W307" s="2387"/>
      <c r="X307" s="2387"/>
      <c r="Y307" s="2387"/>
      <c r="Z307" s="2387"/>
      <c r="AA307" s="2387"/>
      <c r="AB307" s="2387"/>
      <c r="AC307" s="2387"/>
      <c r="AD307" s="2430"/>
      <c r="AE307" s="640"/>
      <c r="AF307" s="550"/>
      <c r="AH307" s="550"/>
      <c r="AI307" s="550"/>
      <c r="AJ307" s="549"/>
      <c r="AK307" s="549"/>
      <c r="AL307" s="549"/>
      <c r="AM307" s="549"/>
      <c r="AN307" s="73"/>
      <c r="AO307" s="14"/>
      <c r="AP307" s="549">
        <f>IF($C$315="yes",9,0)</f>
        <v>9</v>
      </c>
      <c r="AS307" s="568"/>
      <c r="AT307" s="568"/>
      <c r="AU307" s="568"/>
      <c r="AV307" s="32"/>
      <c r="AW307" s="32"/>
    </row>
    <row r="308" spans="1:49" ht="12.75" customHeight="1">
      <c r="A308" s="638"/>
      <c r="B308" s="594"/>
      <c r="F308" s="2429" t="s">
        <v>1986</v>
      </c>
      <c r="G308" s="2387"/>
      <c r="H308" s="2387"/>
      <c r="I308" s="2387"/>
      <c r="J308" s="2387"/>
      <c r="K308" s="2387"/>
      <c r="L308" s="2387"/>
      <c r="M308" s="2387"/>
      <c r="N308" s="2387"/>
      <c r="O308" s="2387"/>
      <c r="P308" s="2387"/>
      <c r="Q308" s="2387"/>
      <c r="R308" s="2387"/>
      <c r="S308" s="2387"/>
      <c r="T308" s="2387"/>
      <c r="U308" s="2387"/>
      <c r="V308" s="2387"/>
      <c r="W308" s="2387"/>
      <c r="X308" s="2387"/>
      <c r="Y308" s="2387"/>
      <c r="Z308" s="2387"/>
      <c r="AA308" s="2387"/>
      <c r="AB308" s="2387"/>
      <c r="AC308" s="2387"/>
      <c r="AD308" s="2430"/>
      <c r="AE308" s="640"/>
      <c r="AF308" s="550"/>
      <c r="AH308" s="550"/>
      <c r="AI308" s="550"/>
      <c r="AJ308" s="549"/>
      <c r="AK308" s="549"/>
      <c r="AL308" s="549"/>
      <c r="AM308" s="549"/>
      <c r="AN308" s="73"/>
      <c r="AO308" s="14"/>
      <c r="AP308" s="609">
        <f>MAX(AP306,AP307)</f>
        <v>9</v>
      </c>
      <c r="AQ308" s="572" t="s">
        <v>1310</v>
      </c>
      <c r="AS308" s="568"/>
      <c r="AT308" s="568"/>
      <c r="AU308" s="568"/>
      <c r="AV308" s="32"/>
      <c r="AW308" s="32"/>
    </row>
    <row r="309" spans="1:49">
      <c r="A309" s="638"/>
      <c r="B309" s="594"/>
      <c r="F309" s="2429"/>
      <c r="G309" s="2387"/>
      <c r="H309" s="2387"/>
      <c r="I309" s="2387"/>
      <c r="J309" s="2387"/>
      <c r="K309" s="2387"/>
      <c r="L309" s="2387"/>
      <c r="M309" s="2387"/>
      <c r="N309" s="2387"/>
      <c r="O309" s="2387"/>
      <c r="P309" s="2387"/>
      <c r="Q309" s="2387"/>
      <c r="R309" s="2387"/>
      <c r="S309" s="2387"/>
      <c r="T309" s="2387"/>
      <c r="U309" s="2387"/>
      <c r="V309" s="2387"/>
      <c r="W309" s="2387"/>
      <c r="X309" s="2387"/>
      <c r="Y309" s="2387"/>
      <c r="Z309" s="2387"/>
      <c r="AA309" s="2387"/>
      <c r="AB309" s="2387"/>
      <c r="AC309" s="2387"/>
      <c r="AD309" s="2430"/>
      <c r="AE309" s="640"/>
      <c r="AF309" s="550"/>
      <c r="AH309" s="550"/>
      <c r="AI309" s="550"/>
      <c r="AJ309" s="549"/>
      <c r="AK309" s="549"/>
      <c r="AL309" s="549"/>
      <c r="AM309" s="549"/>
      <c r="AN309" s="73"/>
      <c r="AO309" s="14"/>
      <c r="AP309" s="549"/>
      <c r="AS309" s="568"/>
      <c r="AT309" s="568"/>
      <c r="AU309" s="568"/>
      <c r="AV309" s="32"/>
      <c r="AW309" s="32"/>
    </row>
    <row r="310" spans="1:49" ht="12.75" customHeight="1">
      <c r="A310" s="549"/>
      <c r="B310" s="550"/>
      <c r="C310" s="549"/>
      <c r="D310" s="550"/>
      <c r="E310" s="549"/>
      <c r="F310" s="2429" t="s">
        <v>1376</v>
      </c>
      <c r="G310" s="2387"/>
      <c r="H310" s="2387"/>
      <c r="I310" s="2387"/>
      <c r="J310" s="2387"/>
      <c r="K310" s="2387"/>
      <c r="L310" s="2387"/>
      <c r="M310" s="2387"/>
      <c r="N310" s="2387"/>
      <c r="O310" s="2387"/>
      <c r="P310" s="2387"/>
      <c r="Q310" s="2387"/>
      <c r="R310" s="2387"/>
      <c r="S310" s="2387"/>
      <c r="T310" s="2387"/>
      <c r="U310" s="2387"/>
      <c r="V310" s="2387"/>
      <c r="W310" s="2387"/>
      <c r="X310" s="2387"/>
      <c r="Y310" s="2387"/>
      <c r="Z310" s="2387"/>
      <c r="AA310" s="2387"/>
      <c r="AB310" s="2387"/>
      <c r="AC310" s="2387"/>
      <c r="AD310" s="2430"/>
      <c r="AE310" s="640"/>
      <c r="AF310" s="550"/>
      <c r="AG310" s="550"/>
      <c r="AH310" s="550"/>
      <c r="AI310" s="550"/>
      <c r="AJ310" s="549"/>
      <c r="AK310" s="549"/>
      <c r="AL310" s="549"/>
      <c r="AM310" s="549"/>
      <c r="AN310" s="73"/>
      <c r="AO310" s="14"/>
      <c r="AS310" s="568"/>
      <c r="AT310" s="568"/>
      <c r="AU310" s="568"/>
      <c r="AV310" s="32"/>
      <c r="AW310" s="32"/>
    </row>
    <row r="311" spans="1:49" ht="12.75" customHeight="1">
      <c r="A311" s="549"/>
      <c r="B311" s="550"/>
      <c r="C311" s="550"/>
      <c r="D311" s="550"/>
      <c r="E311" s="550"/>
      <c r="F311" s="2429"/>
      <c r="G311" s="2387"/>
      <c r="H311" s="2387"/>
      <c r="I311" s="2387"/>
      <c r="J311" s="2387"/>
      <c r="K311" s="2387"/>
      <c r="L311" s="2387"/>
      <c r="M311" s="2387"/>
      <c r="N311" s="2387"/>
      <c r="O311" s="2387"/>
      <c r="P311" s="2387"/>
      <c r="Q311" s="2387"/>
      <c r="R311" s="2387"/>
      <c r="S311" s="2387"/>
      <c r="T311" s="2387"/>
      <c r="U311" s="2387"/>
      <c r="V311" s="2387"/>
      <c r="W311" s="2387"/>
      <c r="X311" s="2387"/>
      <c r="Y311" s="2387"/>
      <c r="Z311" s="2387"/>
      <c r="AA311" s="2387"/>
      <c r="AB311" s="2387"/>
      <c r="AC311" s="2387"/>
      <c r="AD311" s="2430"/>
      <c r="AE311" s="640"/>
      <c r="AF311" s="550"/>
      <c r="AG311" s="550"/>
      <c r="AH311" s="550"/>
      <c r="AI311" s="550"/>
      <c r="AJ311" s="549"/>
      <c r="AK311" s="549"/>
      <c r="AL311" s="549"/>
      <c r="AM311" s="549"/>
      <c r="AN311" s="73"/>
      <c r="AO311" s="14"/>
      <c r="AS311" s="568"/>
      <c r="AT311" s="568"/>
      <c r="AU311" s="568"/>
      <c r="AV311" s="32"/>
      <c r="AW311" s="32"/>
    </row>
    <row r="312" spans="1:49" ht="12.75" customHeight="1">
      <c r="A312" s="549"/>
      <c r="B312" s="550"/>
      <c r="C312" s="550"/>
      <c r="D312" s="550"/>
      <c r="E312" s="550"/>
      <c r="F312" s="2429" t="s">
        <v>1377</v>
      </c>
      <c r="G312" s="2387"/>
      <c r="H312" s="2387"/>
      <c r="I312" s="2387"/>
      <c r="J312" s="2387"/>
      <c r="K312" s="2387"/>
      <c r="L312" s="2387"/>
      <c r="M312" s="2387"/>
      <c r="N312" s="2387"/>
      <c r="O312" s="2387"/>
      <c r="P312" s="2387"/>
      <c r="Q312" s="2387"/>
      <c r="R312" s="2387"/>
      <c r="S312" s="2387"/>
      <c r="T312" s="2387"/>
      <c r="U312" s="2387"/>
      <c r="V312" s="2387"/>
      <c r="W312" s="2387"/>
      <c r="X312" s="2387"/>
      <c r="Y312" s="2387"/>
      <c r="Z312" s="2387"/>
      <c r="AA312" s="2387"/>
      <c r="AB312" s="2387"/>
      <c r="AC312" s="2387"/>
      <c r="AD312" s="2430"/>
      <c r="AE312" s="641"/>
      <c r="AF312" s="550"/>
      <c r="AG312" s="550"/>
      <c r="AH312" s="550"/>
      <c r="AI312" s="550"/>
      <c r="AJ312" s="549"/>
      <c r="AK312" s="549"/>
      <c r="AL312" s="549"/>
      <c r="AM312" s="549"/>
      <c r="AN312" s="73"/>
      <c r="AO312" s="14"/>
      <c r="AP312" s="549"/>
      <c r="AS312" s="568"/>
      <c r="AT312" s="568"/>
      <c r="AU312" s="568"/>
      <c r="AV312" s="32"/>
      <c r="AW312" s="32"/>
    </row>
    <row r="313" spans="1:49">
      <c r="B313" s="550"/>
      <c r="C313" s="550"/>
      <c r="D313" s="550"/>
      <c r="E313" s="550"/>
      <c r="F313" s="2431"/>
      <c r="G313" s="2432"/>
      <c r="H313" s="2432"/>
      <c r="I313" s="2432"/>
      <c r="J313" s="2432"/>
      <c r="K313" s="2432"/>
      <c r="L313" s="2432"/>
      <c r="M313" s="2432"/>
      <c r="N313" s="2432"/>
      <c r="O313" s="2432"/>
      <c r="P313" s="2432"/>
      <c r="Q313" s="2432"/>
      <c r="R313" s="2432"/>
      <c r="S313" s="2432"/>
      <c r="T313" s="2432"/>
      <c r="U313" s="2432"/>
      <c r="V313" s="2432"/>
      <c r="W313" s="2432"/>
      <c r="X313" s="2432"/>
      <c r="Y313" s="2432"/>
      <c r="Z313" s="2432"/>
      <c r="AA313" s="2432"/>
      <c r="AB313" s="2432"/>
      <c r="AC313" s="2432"/>
      <c r="AD313" s="2557"/>
      <c r="AE313" s="641"/>
      <c r="AF313" s="550"/>
      <c r="AG313" s="550"/>
      <c r="AH313" s="550"/>
      <c r="AI313" s="550"/>
      <c r="AJ313" s="549"/>
      <c r="AK313" s="549"/>
      <c r="AL313" s="549"/>
      <c r="AM313" s="549"/>
      <c r="AN313" s="73"/>
      <c r="AO313" s="14"/>
      <c r="AP313" s="549"/>
      <c r="AS313" s="568"/>
      <c r="AT313" s="568"/>
      <c r="AU313" s="568"/>
      <c r="AV313" s="32"/>
      <c r="AW313" s="32"/>
    </row>
    <row r="314" spans="1:49">
      <c r="A314" s="549"/>
      <c r="B314" s="550"/>
      <c r="C314" s="550"/>
      <c r="D314" s="550"/>
      <c r="E314" s="550"/>
      <c r="F314" s="641"/>
      <c r="G314" s="641"/>
      <c r="H314" s="641"/>
      <c r="I314" s="641"/>
      <c r="J314" s="641"/>
      <c r="K314" s="641"/>
      <c r="L314" s="641"/>
      <c r="M314" s="641"/>
      <c r="N314" s="641"/>
      <c r="O314" s="641"/>
      <c r="P314" s="641"/>
      <c r="Q314" s="641"/>
      <c r="R314" s="641"/>
      <c r="S314" s="641"/>
      <c r="T314" s="641"/>
      <c r="U314" s="641"/>
      <c r="V314" s="641"/>
      <c r="W314" s="641"/>
      <c r="X314" s="641"/>
      <c r="Y314" s="641"/>
      <c r="Z314" s="641"/>
      <c r="AA314" s="641"/>
      <c r="AB314" s="641"/>
      <c r="AC314" s="641"/>
      <c r="AD314" s="641"/>
      <c r="AE314" s="550"/>
      <c r="AF314" s="550"/>
      <c r="AG314" s="550"/>
      <c r="AH314" s="550"/>
      <c r="AI314" s="550"/>
      <c r="AJ314" s="549"/>
      <c r="AK314" s="549"/>
      <c r="AL314" s="549"/>
      <c r="AM314" s="549"/>
      <c r="AN314" s="73"/>
      <c r="AO314" s="14"/>
      <c r="AS314" s="568"/>
      <c r="AT314" s="568"/>
      <c r="AU314" s="568"/>
      <c r="AV314" s="32"/>
      <c r="AW314" s="32"/>
    </row>
    <row r="315" spans="1:49" ht="15" customHeight="1">
      <c r="A315" s="1577" t="s">
        <v>1378</v>
      </c>
      <c r="B315" s="1577"/>
      <c r="C315" s="2409" t="s">
        <v>545</v>
      </c>
      <c r="D315" s="2409"/>
      <c r="E315" s="546"/>
      <c r="F315" s="967" t="s">
        <v>2565</v>
      </c>
      <c r="G315" s="968"/>
      <c r="H315" s="968"/>
      <c r="I315" s="968"/>
      <c r="J315" s="968"/>
      <c r="K315" s="968"/>
      <c r="L315" s="968"/>
      <c r="M315" s="968"/>
      <c r="N315" s="968"/>
      <c r="O315" s="968"/>
      <c r="P315" s="968"/>
      <c r="Q315" s="968"/>
      <c r="R315" s="968"/>
      <c r="S315" s="968"/>
      <c r="T315" s="968"/>
      <c r="U315" s="968"/>
      <c r="V315" s="968"/>
      <c r="W315" s="968"/>
      <c r="X315" s="968"/>
      <c r="Y315" s="968"/>
      <c r="Z315" s="968"/>
      <c r="AA315" s="968"/>
      <c r="AB315" s="968"/>
      <c r="AC315" s="968"/>
      <c r="AD315" s="969"/>
      <c r="AE315" s="550"/>
      <c r="AF315" s="550"/>
      <c r="AG315" s="539" t="s">
        <v>1380</v>
      </c>
      <c r="AH315" s="550"/>
      <c r="AI315" s="550"/>
      <c r="AJ315" s="549"/>
      <c r="AK315" s="549"/>
      <c r="AL315" s="549"/>
      <c r="AM315" s="549"/>
      <c r="AN315" s="643"/>
      <c r="AO315" s="14"/>
    </row>
    <row r="316" spans="1:49">
      <c r="A316" s="549"/>
      <c r="B316" s="550"/>
      <c r="C316" s="549"/>
      <c r="D316" s="550"/>
      <c r="E316" s="549"/>
      <c r="F316" s="2429" t="s">
        <v>1982</v>
      </c>
      <c r="G316" s="2387"/>
      <c r="H316" s="2387"/>
      <c r="I316" s="2387"/>
      <c r="J316" s="2387"/>
      <c r="K316" s="2387"/>
      <c r="L316" s="2387"/>
      <c r="M316" s="2387"/>
      <c r="N316" s="2387"/>
      <c r="O316" s="2387"/>
      <c r="P316" s="2387"/>
      <c r="Q316" s="2387"/>
      <c r="R316" s="2387"/>
      <c r="S316" s="2387"/>
      <c r="T316" s="2387"/>
      <c r="U316" s="2387"/>
      <c r="V316" s="2387"/>
      <c r="W316" s="2387"/>
      <c r="X316" s="2387"/>
      <c r="Y316" s="2387"/>
      <c r="Z316" s="2387"/>
      <c r="AA316" s="2387"/>
      <c r="AB316" s="2387"/>
      <c r="AC316" s="2387"/>
      <c r="AD316" s="2430"/>
      <c r="AE316" s="550"/>
      <c r="AF316" s="550"/>
      <c r="AG316" s="550"/>
      <c r="AH316" s="550"/>
      <c r="AI316" s="550"/>
      <c r="AJ316" s="549"/>
      <c r="AK316" s="549"/>
      <c r="AL316" s="549"/>
      <c r="AM316" s="549"/>
      <c r="AR316" s="644"/>
    </row>
    <row r="317" spans="1:49" ht="15" customHeight="1">
      <c r="A317" s="549"/>
      <c r="B317" s="550"/>
      <c r="C317" s="549"/>
      <c r="D317" s="550"/>
      <c r="E317" s="549"/>
      <c r="F317" s="2429"/>
      <c r="G317" s="2387"/>
      <c r="H317" s="2387"/>
      <c r="I317" s="2387"/>
      <c r="J317" s="2387"/>
      <c r="K317" s="2387"/>
      <c r="L317" s="2387"/>
      <c r="M317" s="2387"/>
      <c r="N317" s="2387"/>
      <c r="O317" s="2387"/>
      <c r="P317" s="2387"/>
      <c r="Q317" s="2387"/>
      <c r="R317" s="2387"/>
      <c r="S317" s="2387"/>
      <c r="T317" s="2387"/>
      <c r="U317" s="2387"/>
      <c r="V317" s="2387"/>
      <c r="W317" s="2387"/>
      <c r="X317" s="2387"/>
      <c r="Y317" s="2387"/>
      <c r="Z317" s="2387"/>
      <c r="AA317" s="2387"/>
      <c r="AB317" s="2387"/>
      <c r="AC317" s="2387"/>
      <c r="AD317" s="2430"/>
      <c r="AE317" s="550"/>
      <c r="AF317" s="550"/>
      <c r="AG317" s="550"/>
      <c r="AH317" s="550"/>
      <c r="AI317" s="550"/>
      <c r="AJ317" s="549"/>
      <c r="AK317" s="549"/>
      <c r="AL317" s="549"/>
      <c r="AM317" s="549"/>
      <c r="AR317" s="644"/>
    </row>
    <row r="318" spans="1:49">
      <c r="A318" s="549"/>
      <c r="B318" s="550"/>
      <c r="C318" s="549"/>
      <c r="D318" s="550"/>
      <c r="E318" s="549"/>
      <c r="F318" s="2429"/>
      <c r="G318" s="2387"/>
      <c r="H318" s="2387"/>
      <c r="I318" s="2387"/>
      <c r="J318" s="2387"/>
      <c r="K318" s="2387"/>
      <c r="L318" s="2387"/>
      <c r="M318" s="2387"/>
      <c r="N318" s="2387"/>
      <c r="O318" s="2387"/>
      <c r="P318" s="2387"/>
      <c r="Q318" s="2387"/>
      <c r="R318" s="2387"/>
      <c r="S318" s="2387"/>
      <c r="T318" s="2387"/>
      <c r="U318" s="2387"/>
      <c r="V318" s="2387"/>
      <c r="W318" s="2387"/>
      <c r="X318" s="2387"/>
      <c r="Y318" s="2387"/>
      <c r="Z318" s="2387"/>
      <c r="AA318" s="2387"/>
      <c r="AB318" s="2387"/>
      <c r="AC318" s="2387"/>
      <c r="AD318" s="2430"/>
      <c r="AE318" s="550"/>
      <c r="AF318" s="550"/>
      <c r="AG318" s="550"/>
      <c r="AH318" s="550"/>
      <c r="AI318" s="550"/>
      <c r="AJ318" s="549"/>
      <c r="AK318" s="549"/>
      <c r="AL318" s="549"/>
      <c r="AM318" s="549"/>
      <c r="AP318" s="609"/>
      <c r="AQ318" s="572"/>
      <c r="AR318" s="644"/>
    </row>
    <row r="319" spans="1:49" ht="11.25" customHeight="1">
      <c r="A319" s="549"/>
      <c r="B319" s="550"/>
      <c r="C319" s="549"/>
      <c r="D319" s="550"/>
      <c r="E319" s="549"/>
      <c r="F319" s="2431"/>
      <c r="G319" s="2432"/>
      <c r="H319" s="2432"/>
      <c r="I319" s="2432"/>
      <c r="J319" s="2432"/>
      <c r="K319" s="2432"/>
      <c r="L319" s="2432"/>
      <c r="M319" s="2432"/>
      <c r="N319" s="2432"/>
      <c r="O319" s="2432"/>
      <c r="P319" s="2432"/>
      <c r="Q319" s="2432"/>
      <c r="R319" s="2432"/>
      <c r="S319" s="2432"/>
      <c r="T319" s="2432"/>
      <c r="U319" s="2432"/>
      <c r="V319" s="2432"/>
      <c r="W319" s="2432"/>
      <c r="X319" s="2432"/>
      <c r="Y319" s="2432"/>
      <c r="Z319" s="2432"/>
      <c r="AA319" s="2432"/>
      <c r="AB319" s="2432"/>
      <c r="AC319" s="2432"/>
      <c r="AD319" s="2557"/>
      <c r="AE319" s="550"/>
      <c r="AF319" s="550"/>
      <c r="AG319" s="550"/>
      <c r="AH319" s="550"/>
      <c r="AI319" s="550"/>
      <c r="AJ319" s="549"/>
      <c r="AK319" s="549"/>
      <c r="AL319" s="549"/>
      <c r="AM319" s="549"/>
      <c r="AP319" s="609"/>
      <c r="AQ319" s="572"/>
      <c r="AR319" s="644"/>
    </row>
    <row r="320" spans="1:49">
      <c r="A320" s="549"/>
      <c r="B320" s="550"/>
      <c r="C320" s="550"/>
      <c r="D320" s="550"/>
      <c r="E320" s="550"/>
      <c r="F320" s="550"/>
      <c r="G320" s="550"/>
      <c r="H320" s="550"/>
      <c r="I320" s="550"/>
      <c r="J320" s="550"/>
      <c r="K320" s="550"/>
      <c r="L320" s="550"/>
      <c r="M320" s="550"/>
      <c r="N320" s="550"/>
      <c r="O320" s="550"/>
      <c r="P320" s="550"/>
      <c r="Q320" s="550"/>
      <c r="R320" s="550"/>
      <c r="S320" s="550"/>
      <c r="T320" s="550"/>
      <c r="U320" s="550"/>
      <c r="V320" s="550"/>
      <c r="W320" s="550"/>
      <c r="X320" s="550"/>
      <c r="Y320" s="550"/>
      <c r="Z320" s="550"/>
      <c r="AA320" s="550"/>
      <c r="AB320" s="550"/>
      <c r="AC320" s="550"/>
      <c r="AD320" s="550"/>
      <c r="AE320" s="550"/>
      <c r="AF320" s="550"/>
      <c r="AG320" s="550"/>
      <c r="AH320" s="550"/>
      <c r="AI320" s="550"/>
      <c r="AJ320" s="549"/>
      <c r="AK320" s="549"/>
      <c r="AL320" s="549"/>
      <c r="AM320" s="549"/>
      <c r="AP320" s="609"/>
      <c r="AQ320" s="572"/>
      <c r="AR320" s="644"/>
    </row>
    <row r="321" spans="1:44" hidden="1">
      <c r="A321" s="549"/>
      <c r="B321" s="550"/>
      <c r="C321" s="550"/>
      <c r="D321" s="550"/>
      <c r="E321" s="550"/>
      <c r="F321" s="550"/>
      <c r="G321" s="550"/>
      <c r="H321" s="550"/>
      <c r="I321" s="550"/>
      <c r="J321" s="550"/>
      <c r="K321" s="550"/>
      <c r="L321" s="550"/>
      <c r="M321" s="550"/>
      <c r="N321" s="550"/>
      <c r="O321" s="550"/>
      <c r="P321" s="550"/>
      <c r="Q321" s="550"/>
      <c r="R321" s="550"/>
      <c r="S321" s="550"/>
      <c r="T321" s="550"/>
      <c r="U321" s="550"/>
      <c r="V321" s="550"/>
      <c r="W321" s="550"/>
      <c r="X321" s="550"/>
      <c r="Y321" s="550"/>
      <c r="Z321" s="550"/>
      <c r="AA321" s="550"/>
      <c r="AB321" s="550"/>
      <c r="AC321" s="550"/>
      <c r="AD321" s="550"/>
      <c r="AE321" s="550"/>
      <c r="AF321" s="550"/>
      <c r="AG321" s="550"/>
      <c r="AH321" s="550"/>
      <c r="AI321" s="550"/>
      <c r="AJ321" s="549"/>
      <c r="AK321" s="549"/>
      <c r="AL321" s="549"/>
      <c r="AM321" s="549"/>
      <c r="AP321" s="609"/>
      <c r="AQ321" s="572"/>
      <c r="AR321" s="644"/>
    </row>
    <row r="322" spans="1:44" hidden="1">
      <c r="A322" s="549"/>
      <c r="B322" s="550"/>
      <c r="C322" s="550"/>
      <c r="D322" s="550"/>
      <c r="E322" s="550"/>
      <c r="F322" s="550"/>
      <c r="G322" s="550"/>
      <c r="H322" s="550"/>
      <c r="I322" s="550"/>
      <c r="J322" s="550"/>
      <c r="K322" s="550"/>
      <c r="L322" s="550"/>
      <c r="M322" s="550"/>
      <c r="N322" s="550"/>
      <c r="O322" s="550"/>
      <c r="P322" s="550"/>
      <c r="Q322" s="550"/>
      <c r="R322" s="550"/>
      <c r="S322" s="550"/>
      <c r="T322" s="550"/>
      <c r="U322" s="550"/>
      <c r="V322" s="550"/>
      <c r="W322" s="550"/>
      <c r="X322" s="550"/>
      <c r="Y322" s="550"/>
      <c r="Z322" s="550"/>
      <c r="AA322" s="550"/>
      <c r="AB322" s="550"/>
      <c r="AC322" s="550"/>
      <c r="AD322" s="550"/>
      <c r="AE322" s="550"/>
      <c r="AF322" s="550"/>
      <c r="AG322" s="550"/>
      <c r="AH322" s="550"/>
      <c r="AI322" s="550"/>
      <c r="AJ322" s="549"/>
      <c r="AK322" s="549"/>
      <c r="AL322" s="549"/>
      <c r="AM322" s="549"/>
      <c r="AN322" s="73"/>
      <c r="AO322" s="14"/>
    </row>
    <row r="323" spans="1:44" hidden="1">
      <c r="A323" s="1577" t="s">
        <v>1381</v>
      </c>
      <c r="B323" s="1577"/>
      <c r="C323" s="2409" t="s">
        <v>591</v>
      </c>
      <c r="D323" s="2409"/>
      <c r="E323" s="546"/>
      <c r="F323" s="642" t="s">
        <v>1379</v>
      </c>
      <c r="G323" s="645"/>
      <c r="H323" s="645"/>
      <c r="I323" s="645"/>
      <c r="J323" s="645"/>
      <c r="K323" s="645"/>
      <c r="L323" s="645"/>
      <c r="M323" s="645"/>
      <c r="N323" s="645"/>
      <c r="O323" s="645"/>
      <c r="P323" s="645"/>
      <c r="Q323" s="645"/>
      <c r="R323" s="645"/>
      <c r="S323" s="645"/>
      <c r="T323" s="645"/>
      <c r="U323" s="645"/>
      <c r="V323" s="645"/>
      <c r="W323" s="645"/>
      <c r="X323" s="645"/>
      <c r="Y323" s="645"/>
      <c r="Z323" s="645"/>
      <c r="AA323" s="645"/>
      <c r="AB323" s="645"/>
      <c r="AC323" s="645"/>
      <c r="AD323" s="646"/>
      <c r="AE323" s="550"/>
      <c r="AF323" s="550"/>
      <c r="AG323" s="539" t="s">
        <v>1380</v>
      </c>
      <c r="AH323" s="550"/>
      <c r="AI323" s="550"/>
      <c r="AJ323" s="549"/>
      <c r="AK323" s="549"/>
      <c r="AL323" s="549"/>
      <c r="AM323" s="549"/>
      <c r="AN323" s="73"/>
      <c r="AO323" s="14"/>
    </row>
    <row r="324" spans="1:44" hidden="1">
      <c r="A324" s="89"/>
      <c r="B324" s="89"/>
      <c r="C324" s="726"/>
      <c r="D324" s="726"/>
      <c r="E324" s="546"/>
      <c r="F324" s="2429" t="s">
        <v>1987</v>
      </c>
      <c r="G324" s="2387"/>
      <c r="H324" s="2387"/>
      <c r="I324" s="2387"/>
      <c r="J324" s="2387"/>
      <c r="K324" s="2387"/>
      <c r="L324" s="2387"/>
      <c r="M324" s="2387"/>
      <c r="N324" s="2387"/>
      <c r="O324" s="2387"/>
      <c r="P324" s="2387"/>
      <c r="Q324" s="2387"/>
      <c r="R324" s="2387"/>
      <c r="S324" s="2387"/>
      <c r="T324" s="2387"/>
      <c r="U324" s="2387"/>
      <c r="V324" s="2387"/>
      <c r="W324" s="2387"/>
      <c r="X324" s="2387"/>
      <c r="Y324" s="2387"/>
      <c r="Z324" s="2387"/>
      <c r="AA324" s="2387"/>
      <c r="AB324" s="2387"/>
      <c r="AC324" s="2387"/>
      <c r="AD324" s="2430"/>
      <c r="AE324" s="550"/>
      <c r="AF324" s="550"/>
      <c r="AG324" s="539"/>
      <c r="AH324" s="550"/>
      <c r="AI324" s="550"/>
      <c r="AJ324" s="549"/>
      <c r="AK324" s="549"/>
      <c r="AL324" s="549"/>
      <c r="AM324" s="549"/>
      <c r="AN324" s="73"/>
      <c r="AO324" s="14"/>
      <c r="AP324" s="555" t="s">
        <v>1184</v>
      </c>
    </row>
    <row r="325" spans="1:44" hidden="1">
      <c r="F325" s="2429"/>
      <c r="G325" s="2387"/>
      <c r="H325" s="2387"/>
      <c r="I325" s="2387"/>
      <c r="J325" s="2387"/>
      <c r="K325" s="2387"/>
      <c r="L325" s="2387"/>
      <c r="M325" s="2387"/>
      <c r="N325" s="2387"/>
      <c r="O325" s="2387"/>
      <c r="P325" s="2387"/>
      <c r="Q325" s="2387"/>
      <c r="R325" s="2387"/>
      <c r="S325" s="2387"/>
      <c r="T325" s="2387"/>
      <c r="U325" s="2387"/>
      <c r="V325" s="2387"/>
      <c r="W325" s="2387"/>
      <c r="X325" s="2387"/>
      <c r="Y325" s="2387"/>
      <c r="Z325" s="2387"/>
      <c r="AA325" s="2387"/>
      <c r="AB325" s="2387"/>
      <c r="AC325" s="2387"/>
      <c r="AD325" s="2430"/>
      <c r="AE325" s="550"/>
      <c r="AF325" s="550"/>
      <c r="AH325" s="550"/>
      <c r="AI325" s="550"/>
      <c r="AJ325" s="549"/>
      <c r="AK325" s="549"/>
      <c r="AL325" s="549"/>
      <c r="AM325" s="549"/>
      <c r="AN325" s="73"/>
      <c r="AO325" s="14"/>
      <c r="AP325" s="555" t="s">
        <v>1718</v>
      </c>
    </row>
    <row r="326" spans="1:44" hidden="1">
      <c r="A326" s="549"/>
      <c r="B326" s="550"/>
      <c r="C326" s="726"/>
      <c r="D326" s="726"/>
      <c r="E326" s="546"/>
      <c r="F326" s="648" t="s">
        <v>1382</v>
      </c>
      <c r="G326" s="659"/>
      <c r="H326" s="659"/>
      <c r="I326" s="659"/>
      <c r="J326" s="659"/>
      <c r="K326" s="659"/>
      <c r="L326" s="659"/>
      <c r="M326" s="659"/>
      <c r="N326" s="659"/>
      <c r="O326" s="659"/>
      <c r="P326" s="659"/>
      <c r="Q326" s="659"/>
      <c r="R326" s="659"/>
      <c r="S326" s="659"/>
      <c r="T326" s="659"/>
      <c r="U326" s="659"/>
      <c r="V326" s="659"/>
      <c r="W326" s="659"/>
      <c r="X326" s="659"/>
      <c r="Y326" s="659"/>
      <c r="Z326" s="659"/>
      <c r="AA326" s="659"/>
      <c r="AB326" s="659"/>
      <c r="AC326" s="659"/>
      <c r="AD326" s="1015"/>
      <c r="AE326" s="550"/>
      <c r="AF326" s="550"/>
      <c r="AG326" s="539"/>
      <c r="AH326" s="550"/>
      <c r="AI326" s="550"/>
      <c r="AJ326" s="549"/>
      <c r="AK326" s="549"/>
      <c r="AL326" s="549"/>
      <c r="AM326" s="549"/>
      <c r="AN326" s="73"/>
      <c r="AO326" s="14"/>
      <c r="AP326" s="555" t="s">
        <v>1720</v>
      </c>
    </row>
    <row r="327" spans="1:44" hidden="1">
      <c r="A327" s="549"/>
      <c r="B327" s="550"/>
      <c r="C327" s="726"/>
      <c r="D327" s="726"/>
      <c r="E327" s="546"/>
      <c r="F327" s="648"/>
      <c r="G327" s="659"/>
      <c r="H327" s="659"/>
      <c r="I327" s="659"/>
      <c r="J327" s="659"/>
      <c r="K327" s="659"/>
      <c r="L327" s="659"/>
      <c r="M327" s="659"/>
      <c r="N327" s="659"/>
      <c r="O327" s="659"/>
      <c r="P327" s="659"/>
      <c r="Q327" s="659"/>
      <c r="R327" s="659"/>
      <c r="S327" s="659"/>
      <c r="T327" s="659"/>
      <c r="U327" s="659"/>
      <c r="V327" s="659"/>
      <c r="W327" s="659"/>
      <c r="X327" s="659"/>
      <c r="Y327" s="659"/>
      <c r="Z327" s="659"/>
      <c r="AA327" s="659"/>
      <c r="AB327" s="659"/>
      <c r="AC327" s="659"/>
      <c r="AD327" s="1015"/>
      <c r="AE327" s="550"/>
      <c r="AF327" s="550"/>
      <c r="AG327" s="539"/>
      <c r="AH327" s="550"/>
      <c r="AI327" s="550"/>
      <c r="AJ327" s="549"/>
      <c r="AK327" s="549"/>
      <c r="AL327" s="549"/>
      <c r="AM327" s="549"/>
      <c r="AN327" s="73"/>
      <c r="AO327" s="14"/>
      <c r="AP327" s="555" t="s">
        <v>1830</v>
      </c>
    </row>
    <row r="328" spans="1:44" ht="12.75" hidden="1" customHeight="1">
      <c r="A328" s="549"/>
      <c r="B328" s="550"/>
      <c r="C328" s="726"/>
      <c r="D328" s="726"/>
      <c r="E328" s="546"/>
      <c r="F328" s="648"/>
      <c r="G328" s="640"/>
      <c r="H328" s="640"/>
      <c r="I328" s="640"/>
      <c r="J328" s="640"/>
      <c r="K328" s="640"/>
      <c r="L328" s="640"/>
      <c r="M328" s="640"/>
      <c r="N328" s="640"/>
      <c r="O328" s="640"/>
      <c r="P328" s="640"/>
      <c r="Q328" s="640"/>
      <c r="R328" s="640"/>
      <c r="S328" s="640"/>
      <c r="T328" s="640"/>
      <c r="U328" s="640"/>
      <c r="V328" s="640"/>
      <c r="W328" s="640"/>
      <c r="X328" s="640"/>
      <c r="Y328" s="640"/>
      <c r="Z328" s="640"/>
      <c r="AA328" s="640"/>
      <c r="AB328" s="640"/>
      <c r="AC328" s="640"/>
      <c r="AD328" s="649"/>
      <c r="AE328" s="550"/>
      <c r="AF328" s="550"/>
      <c r="AG328" s="539"/>
      <c r="AH328" s="550"/>
      <c r="AI328" s="550"/>
      <c r="AJ328" s="549"/>
      <c r="AK328" s="549"/>
      <c r="AL328" s="549"/>
      <c r="AM328" s="549"/>
      <c r="AN328" s="73"/>
      <c r="AO328" s="14"/>
      <c r="AP328" s="30"/>
    </row>
    <row r="329" spans="1:44" ht="12.75" hidden="1" customHeight="1">
      <c r="A329" s="549"/>
      <c r="B329" s="550"/>
      <c r="C329" s="726"/>
      <c r="D329" s="726"/>
      <c r="E329" s="546"/>
      <c r="F329" s="2537" t="s">
        <v>1184</v>
      </c>
      <c r="G329" s="2538"/>
      <c r="H329" s="2538"/>
      <c r="I329" s="2538"/>
      <c r="J329" s="2538"/>
      <c r="K329" s="2538"/>
      <c r="L329" s="2538"/>
      <c r="M329" s="2538"/>
      <c r="N329" s="2538"/>
      <c r="O329" s="2538"/>
      <c r="P329" s="2538"/>
      <c r="Q329" s="2538"/>
      <c r="R329" s="2538"/>
      <c r="S329" s="2538"/>
      <c r="T329" s="2538"/>
      <c r="U329" s="2538"/>
      <c r="V329" s="2538"/>
      <c r="W329" s="2538"/>
      <c r="X329" s="2538"/>
      <c r="Y329" s="2538"/>
      <c r="Z329" s="2538"/>
      <c r="AA329" s="2538"/>
      <c r="AB329" s="2538"/>
      <c r="AC329" s="2538"/>
      <c r="AD329" s="2539"/>
      <c r="AE329" s="640"/>
      <c r="AF329" s="640"/>
      <c r="AG329" s="640"/>
      <c r="AH329" s="640"/>
      <c r="AI329" s="640"/>
      <c r="AJ329" s="640"/>
      <c r="AK329" s="640"/>
      <c r="AL329" s="549"/>
      <c r="AM329" s="549"/>
      <c r="AN329" s="73"/>
      <c r="AO329" s="14"/>
      <c r="AP329" s="30"/>
    </row>
    <row r="330" spans="1:44" hidden="1">
      <c r="A330" s="549"/>
      <c r="B330" s="550"/>
      <c r="C330" s="726"/>
      <c r="D330" s="726"/>
      <c r="E330" s="546"/>
      <c r="F330" s="2537"/>
      <c r="G330" s="2538"/>
      <c r="H330" s="2538"/>
      <c r="I330" s="2538"/>
      <c r="J330" s="2538"/>
      <c r="K330" s="2538"/>
      <c r="L330" s="2538"/>
      <c r="M330" s="2538"/>
      <c r="N330" s="2538"/>
      <c r="O330" s="2538"/>
      <c r="P330" s="2538"/>
      <c r="Q330" s="2538"/>
      <c r="R330" s="2538"/>
      <c r="S330" s="2538"/>
      <c r="T330" s="2538"/>
      <c r="U330" s="2538"/>
      <c r="V330" s="2538"/>
      <c r="W330" s="2538"/>
      <c r="X330" s="2538"/>
      <c r="Y330" s="2538"/>
      <c r="Z330" s="2538"/>
      <c r="AA330" s="2538"/>
      <c r="AB330" s="2538"/>
      <c r="AC330" s="2538"/>
      <c r="AD330" s="2539"/>
      <c r="AE330" s="550"/>
      <c r="AF330" s="550"/>
      <c r="AG330" s="539"/>
      <c r="AH330" s="550"/>
      <c r="AI330" s="550"/>
      <c r="AJ330" s="549"/>
      <c r="AK330" s="549"/>
      <c r="AL330" s="549"/>
      <c r="AM330" s="549"/>
      <c r="AN330" s="73"/>
      <c r="AO330" s="14"/>
      <c r="AP330" s="30"/>
    </row>
    <row r="331" spans="1:44" hidden="1">
      <c r="A331" s="549"/>
      <c r="B331" s="550"/>
      <c r="C331" s="726"/>
      <c r="D331" s="726"/>
      <c r="E331" s="546"/>
      <c r="F331" s="2537"/>
      <c r="G331" s="2538"/>
      <c r="H331" s="2538"/>
      <c r="I331" s="2538"/>
      <c r="J331" s="2538"/>
      <c r="K331" s="2538"/>
      <c r="L331" s="2538"/>
      <c r="M331" s="2538"/>
      <c r="N331" s="2538"/>
      <c r="O331" s="2538"/>
      <c r="P331" s="2538"/>
      <c r="Q331" s="2538"/>
      <c r="R331" s="2538"/>
      <c r="S331" s="2538"/>
      <c r="T331" s="2538"/>
      <c r="U331" s="2538"/>
      <c r="V331" s="2538"/>
      <c r="W331" s="2538"/>
      <c r="X331" s="2538"/>
      <c r="Y331" s="2538"/>
      <c r="Z331" s="2538"/>
      <c r="AA331" s="2538"/>
      <c r="AB331" s="2538"/>
      <c r="AC331" s="2538"/>
      <c r="AD331" s="2539"/>
      <c r="AE331" s="550"/>
      <c r="AF331" s="550"/>
      <c r="AG331" s="539"/>
      <c r="AH331" s="550"/>
      <c r="AI331" s="550"/>
      <c r="AJ331" s="549"/>
      <c r="AK331" s="549"/>
      <c r="AL331" s="549"/>
      <c r="AM331" s="549"/>
      <c r="AN331" s="73"/>
      <c r="AO331" s="14"/>
      <c r="AP331" s="30"/>
    </row>
    <row r="332" spans="1:44" hidden="1">
      <c r="A332" s="549"/>
      <c r="B332" s="550"/>
      <c r="C332" s="726"/>
      <c r="D332" s="726"/>
      <c r="E332" s="546"/>
      <c r="F332" s="2537"/>
      <c r="G332" s="2538"/>
      <c r="H332" s="2538"/>
      <c r="I332" s="2538"/>
      <c r="J332" s="2538"/>
      <c r="K332" s="2538"/>
      <c r="L332" s="2538"/>
      <c r="M332" s="2538"/>
      <c r="N332" s="2538"/>
      <c r="O332" s="2538"/>
      <c r="P332" s="2538"/>
      <c r="Q332" s="2538"/>
      <c r="R332" s="2538"/>
      <c r="S332" s="2538"/>
      <c r="T332" s="2538"/>
      <c r="U332" s="2538"/>
      <c r="V332" s="2538"/>
      <c r="W332" s="2538"/>
      <c r="X332" s="2538"/>
      <c r="Y332" s="2538"/>
      <c r="Z332" s="2538"/>
      <c r="AA332" s="2538"/>
      <c r="AB332" s="2538"/>
      <c r="AC332" s="2538"/>
      <c r="AD332" s="2539"/>
      <c r="AE332" s="550"/>
      <c r="AF332" s="550"/>
      <c r="AG332" s="539"/>
      <c r="AH332" s="550"/>
      <c r="AI332" s="550"/>
      <c r="AJ332" s="549"/>
      <c r="AK332" s="549"/>
      <c r="AL332" s="549"/>
      <c r="AM332" s="549"/>
      <c r="AN332" s="73"/>
      <c r="AO332" s="14"/>
      <c r="AP332" s="30"/>
    </row>
    <row r="333" spans="1:44" hidden="1">
      <c r="A333" s="549"/>
      <c r="B333" s="550"/>
      <c r="C333" s="726"/>
      <c r="D333" s="726"/>
      <c r="E333" s="546"/>
      <c r="F333" s="2540"/>
      <c r="G333" s="2541"/>
      <c r="H333" s="2541"/>
      <c r="I333" s="2541"/>
      <c r="J333" s="2541"/>
      <c r="K333" s="2541"/>
      <c r="L333" s="2541"/>
      <c r="M333" s="2541"/>
      <c r="N333" s="2541"/>
      <c r="O333" s="2541"/>
      <c r="P333" s="2541"/>
      <c r="Q333" s="2541"/>
      <c r="R333" s="2541"/>
      <c r="S333" s="2541"/>
      <c r="T333" s="2541"/>
      <c r="U333" s="2541"/>
      <c r="V333" s="2541"/>
      <c r="W333" s="2541"/>
      <c r="X333" s="2541"/>
      <c r="Y333" s="2541"/>
      <c r="Z333" s="2541"/>
      <c r="AA333" s="2541"/>
      <c r="AB333" s="2541"/>
      <c r="AC333" s="2541"/>
      <c r="AD333" s="2542"/>
      <c r="AE333" s="550"/>
      <c r="AF333" s="550"/>
      <c r="AG333" s="539"/>
      <c r="AH333" s="550"/>
      <c r="AI333" s="550"/>
      <c r="AJ333" s="549"/>
      <c r="AK333" s="549"/>
      <c r="AL333" s="549"/>
      <c r="AM333" s="549"/>
      <c r="AN333" s="73"/>
      <c r="AO333" s="14"/>
      <c r="AP333" s="30"/>
    </row>
    <row r="334" spans="1:44" hidden="1">
      <c r="A334" s="549"/>
      <c r="B334" s="550"/>
      <c r="C334" s="726"/>
      <c r="D334" s="726"/>
      <c r="E334" s="546"/>
      <c r="F334" s="971"/>
      <c r="G334" s="640"/>
      <c r="H334" s="640"/>
      <c r="I334" s="640"/>
      <c r="J334" s="640"/>
      <c r="K334" s="640"/>
      <c r="L334" s="640"/>
      <c r="M334" s="640"/>
      <c r="N334" s="640"/>
      <c r="O334" s="640"/>
      <c r="P334" s="640"/>
      <c r="Q334" s="640"/>
      <c r="R334" s="640"/>
      <c r="S334" s="640"/>
      <c r="T334" s="640"/>
      <c r="U334" s="640"/>
      <c r="V334" s="640"/>
      <c r="W334" s="640"/>
      <c r="X334" s="640"/>
      <c r="Y334" s="640"/>
      <c r="Z334" s="640"/>
      <c r="AA334" s="640"/>
      <c r="AB334" s="640"/>
      <c r="AC334" s="640"/>
      <c r="AD334" s="649"/>
      <c r="AE334" s="550"/>
      <c r="AF334" s="550"/>
      <c r="AG334" s="539"/>
      <c r="AH334" s="550"/>
      <c r="AI334" s="550"/>
      <c r="AJ334" s="549"/>
      <c r="AK334" s="549"/>
      <c r="AL334" s="549"/>
      <c r="AM334" s="549"/>
      <c r="AN334" s="73"/>
      <c r="AO334" s="14"/>
      <c r="AP334" s="30"/>
    </row>
    <row r="335" spans="1:44" hidden="1">
      <c r="A335" s="549"/>
      <c r="B335" s="550"/>
      <c r="C335" s="726"/>
      <c r="D335" s="726"/>
      <c r="E335" s="546"/>
      <c r="F335" s="650" t="s">
        <v>1719</v>
      </c>
      <c r="G335" s="550"/>
      <c r="H335" s="550"/>
      <c r="I335" s="550"/>
      <c r="J335" s="550"/>
      <c r="K335" s="550"/>
      <c r="L335" s="550"/>
      <c r="M335" s="550"/>
      <c r="N335" s="550"/>
      <c r="O335" s="550"/>
      <c r="P335" s="550"/>
      <c r="Q335" s="550"/>
      <c r="R335" s="550"/>
      <c r="S335" s="550"/>
      <c r="T335" s="550"/>
      <c r="U335" s="550"/>
      <c r="V335" s="550"/>
      <c r="W335" s="550"/>
      <c r="X335" s="550"/>
      <c r="Y335" s="550"/>
      <c r="Z335" s="550"/>
      <c r="AA335" s="550"/>
      <c r="AB335" s="550"/>
      <c r="AC335" s="550"/>
      <c r="AD335" s="651"/>
      <c r="AE335" s="550"/>
      <c r="AF335" s="550"/>
      <c r="AG335" s="539"/>
      <c r="AH335" s="550"/>
      <c r="AI335" s="550"/>
      <c r="AJ335" s="549"/>
      <c r="AK335" s="549"/>
      <c r="AL335" s="549"/>
      <c r="AM335" s="549"/>
      <c r="AN335" s="73"/>
      <c r="AO335" s="14"/>
      <c r="AP335" s="30"/>
    </row>
    <row r="336" spans="1:44" hidden="1">
      <c r="A336" s="549"/>
      <c r="B336" s="550"/>
      <c r="C336" s="726"/>
      <c r="D336" s="726"/>
      <c r="E336" s="546"/>
      <c r="F336" s="650"/>
      <c r="G336" s="550"/>
      <c r="H336" s="550"/>
      <c r="I336" s="550"/>
      <c r="J336" s="550"/>
      <c r="K336" s="550"/>
      <c r="L336" s="550"/>
      <c r="M336" s="550"/>
      <c r="N336" s="550"/>
      <c r="O336" s="550"/>
      <c r="P336" s="550"/>
      <c r="Q336" s="550"/>
      <c r="R336" s="550"/>
      <c r="S336" s="550"/>
      <c r="T336" s="550"/>
      <c r="U336" s="550"/>
      <c r="V336" s="550"/>
      <c r="W336" s="550"/>
      <c r="X336" s="550"/>
      <c r="Y336" s="550"/>
      <c r="Z336" s="550"/>
      <c r="AA336" s="550"/>
      <c r="AB336" s="550"/>
      <c r="AC336" s="550"/>
      <c r="AD336" s="651"/>
      <c r="AE336" s="550"/>
      <c r="AF336" s="550"/>
      <c r="AG336" s="539"/>
      <c r="AH336" s="550"/>
      <c r="AI336" s="550"/>
      <c r="AJ336" s="549"/>
      <c r="AK336" s="549"/>
      <c r="AL336" s="549"/>
      <c r="AM336" s="549"/>
      <c r="AN336" s="73"/>
      <c r="AO336" s="14"/>
      <c r="AP336" s="555" t="s">
        <v>1184</v>
      </c>
    </row>
    <row r="337" spans="1:42" ht="12.75" hidden="1" customHeight="1">
      <c r="A337" s="549"/>
      <c r="B337" s="550"/>
      <c r="C337" s="726"/>
      <c r="D337" s="726"/>
      <c r="E337" s="546"/>
      <c r="F337" s="652"/>
      <c r="G337" s="573" t="s">
        <v>687</v>
      </c>
      <c r="H337" s="573"/>
      <c r="I337" s="2543" t="s">
        <v>1184</v>
      </c>
      <c r="J337" s="2543"/>
      <c r="K337" s="2543"/>
      <c r="L337" s="2543"/>
      <c r="M337" s="2543"/>
      <c r="N337" s="2543"/>
      <c r="O337" s="2543"/>
      <c r="P337" s="2543"/>
      <c r="Q337" s="2543"/>
      <c r="R337" s="2543"/>
      <c r="S337" s="2543"/>
      <c r="T337" s="2543"/>
      <c r="U337" s="2543"/>
      <c r="V337" s="2543"/>
      <c r="W337" s="2543"/>
      <c r="X337" s="2543"/>
      <c r="Y337" s="2543"/>
      <c r="Z337" s="2543"/>
      <c r="AA337" s="2543"/>
      <c r="AB337" s="2543"/>
      <c r="AC337" s="2543"/>
      <c r="AD337" s="2544"/>
      <c r="AE337" s="550"/>
      <c r="AF337" s="550"/>
      <c r="AG337" s="539"/>
      <c r="AH337" s="550"/>
      <c r="AI337" s="550"/>
      <c r="AJ337" s="549"/>
      <c r="AK337" s="549"/>
      <c r="AL337" s="549"/>
      <c r="AM337" s="549"/>
      <c r="AN337" s="73"/>
      <c r="AO337" s="14"/>
      <c r="AP337" s="555" t="s">
        <v>1626</v>
      </c>
    </row>
    <row r="338" spans="1:42" hidden="1">
      <c r="A338" s="549"/>
      <c r="B338" s="550"/>
      <c r="C338" s="726"/>
      <c r="D338" s="726"/>
      <c r="E338" s="546"/>
      <c r="F338" s="652"/>
      <c r="G338" s="573"/>
      <c r="H338" s="573"/>
      <c r="I338" s="2543"/>
      <c r="J338" s="2543"/>
      <c r="K338" s="2543"/>
      <c r="L338" s="2543"/>
      <c r="M338" s="2543"/>
      <c r="N338" s="2543"/>
      <c r="O338" s="2543"/>
      <c r="P338" s="2543"/>
      <c r="Q338" s="2543"/>
      <c r="R338" s="2543"/>
      <c r="S338" s="2543"/>
      <c r="T338" s="2543"/>
      <c r="U338" s="2543"/>
      <c r="V338" s="2543"/>
      <c r="W338" s="2543"/>
      <c r="X338" s="2543"/>
      <c r="Y338" s="2543"/>
      <c r="Z338" s="2543"/>
      <c r="AA338" s="2543"/>
      <c r="AB338" s="2543"/>
      <c r="AC338" s="2543"/>
      <c r="AD338" s="2544"/>
      <c r="AE338" s="550"/>
      <c r="AF338" s="550"/>
      <c r="AG338" s="539"/>
      <c r="AH338" s="550"/>
      <c r="AI338" s="550"/>
      <c r="AJ338" s="549"/>
      <c r="AK338" s="549"/>
      <c r="AL338" s="549"/>
      <c r="AM338" s="549"/>
      <c r="AN338" s="73"/>
      <c r="AO338" s="14"/>
      <c r="AP338" s="555" t="s">
        <v>1721</v>
      </c>
    </row>
    <row r="339" spans="1:42" hidden="1">
      <c r="A339" s="549"/>
      <c r="B339" s="550"/>
      <c r="C339" s="647"/>
      <c r="D339" s="647"/>
      <c r="E339" s="546"/>
      <c r="F339" s="652"/>
      <c r="G339" s="573"/>
      <c r="H339" s="573"/>
      <c r="I339" s="2543"/>
      <c r="J339" s="2543"/>
      <c r="K339" s="2543"/>
      <c r="L339" s="2543"/>
      <c r="M339" s="2543"/>
      <c r="N339" s="2543"/>
      <c r="O339" s="2543"/>
      <c r="P339" s="2543"/>
      <c r="Q339" s="2543"/>
      <c r="R339" s="2543"/>
      <c r="S339" s="2543"/>
      <c r="T339" s="2543"/>
      <c r="U339" s="2543"/>
      <c r="V339" s="2543"/>
      <c r="W339" s="2543"/>
      <c r="X339" s="2543"/>
      <c r="Y339" s="2543"/>
      <c r="Z339" s="2543"/>
      <c r="AA339" s="2543"/>
      <c r="AB339" s="2543"/>
      <c r="AC339" s="2543"/>
      <c r="AD339" s="2544"/>
      <c r="AE339" s="550"/>
      <c r="AF339" s="550"/>
      <c r="AG339" s="539"/>
      <c r="AH339" s="550"/>
      <c r="AI339" s="550"/>
      <c r="AJ339" s="549"/>
      <c r="AK339" s="549"/>
      <c r="AL339" s="549"/>
      <c r="AM339" s="549"/>
      <c r="AN339" s="73"/>
      <c r="AO339" s="14"/>
      <c r="AP339" s="555" t="s">
        <v>1723</v>
      </c>
    </row>
    <row r="340" spans="1:42" hidden="1">
      <c r="A340" s="549"/>
      <c r="B340" s="550"/>
      <c r="C340" s="647"/>
      <c r="D340" s="647"/>
      <c r="E340" s="546"/>
      <c r="F340" s="650"/>
      <c r="G340" s="550"/>
      <c r="H340" s="550"/>
      <c r="I340" s="2545"/>
      <c r="J340" s="2545"/>
      <c r="K340" s="2545"/>
      <c r="L340" s="2545"/>
      <c r="M340" s="2545"/>
      <c r="N340" s="2545"/>
      <c r="O340" s="2545"/>
      <c r="P340" s="2545"/>
      <c r="Q340" s="2545"/>
      <c r="R340" s="2545"/>
      <c r="S340" s="2545"/>
      <c r="T340" s="2545"/>
      <c r="U340" s="2545"/>
      <c r="V340" s="2545"/>
      <c r="W340" s="2545"/>
      <c r="X340" s="2545"/>
      <c r="Y340" s="2545"/>
      <c r="Z340" s="2545"/>
      <c r="AA340" s="2545"/>
      <c r="AB340" s="2545"/>
      <c r="AC340" s="2545"/>
      <c r="AD340" s="2546"/>
      <c r="AE340" s="550"/>
      <c r="AF340" s="550"/>
      <c r="AG340" s="539"/>
      <c r="AH340" s="550"/>
      <c r="AI340" s="550"/>
      <c r="AJ340" s="549"/>
      <c r="AK340" s="549"/>
      <c r="AL340" s="549"/>
      <c r="AM340" s="549"/>
      <c r="AN340" s="73"/>
      <c r="AO340" s="14"/>
      <c r="AP340" s="555" t="s">
        <v>1722</v>
      </c>
    </row>
    <row r="341" spans="1:42" hidden="1">
      <c r="A341" s="549"/>
      <c r="B341" s="550"/>
      <c r="C341" s="647"/>
      <c r="D341" s="647"/>
      <c r="E341" s="546"/>
      <c r="F341" s="650"/>
      <c r="G341" s="550"/>
      <c r="H341" s="550"/>
      <c r="I341" s="550"/>
      <c r="J341" s="550"/>
      <c r="K341" s="550"/>
      <c r="L341" s="550"/>
      <c r="M341" s="550"/>
      <c r="N341" s="550"/>
      <c r="O341" s="550"/>
      <c r="P341" s="550"/>
      <c r="Q341" s="550"/>
      <c r="R341" s="550"/>
      <c r="S341" s="550"/>
      <c r="T341" s="550"/>
      <c r="U341" s="550"/>
      <c r="V341" s="550"/>
      <c r="W341" s="550"/>
      <c r="X341" s="550"/>
      <c r="Y341" s="550"/>
      <c r="Z341" s="550"/>
      <c r="AA341" s="550"/>
      <c r="AB341" s="550"/>
      <c r="AC341" s="550"/>
      <c r="AD341" s="651"/>
      <c r="AE341" s="550"/>
      <c r="AF341" s="550"/>
      <c r="AG341" s="539"/>
      <c r="AH341" s="550"/>
      <c r="AI341" s="550"/>
      <c r="AJ341" s="549"/>
      <c r="AK341" s="549"/>
      <c r="AL341" s="549"/>
      <c r="AM341" s="549"/>
      <c r="AN341" s="73"/>
      <c r="AO341" s="14"/>
      <c r="AP341" s="30"/>
    </row>
    <row r="342" spans="1:42" hidden="1">
      <c r="A342" s="549"/>
      <c r="B342" s="550"/>
      <c r="C342" s="647"/>
      <c r="D342" s="647"/>
      <c r="E342" s="546"/>
      <c r="F342" s="650"/>
      <c r="G342" s="550" t="s">
        <v>509</v>
      </c>
      <c r="H342" s="550"/>
      <c r="I342" s="2543" t="s">
        <v>1184</v>
      </c>
      <c r="J342" s="2543"/>
      <c r="K342" s="2543"/>
      <c r="L342" s="2543"/>
      <c r="M342" s="2543"/>
      <c r="N342" s="2543"/>
      <c r="O342" s="2543"/>
      <c r="P342" s="2543"/>
      <c r="Q342" s="2543"/>
      <c r="R342" s="2543"/>
      <c r="S342" s="2543"/>
      <c r="T342" s="2543"/>
      <c r="U342" s="2543"/>
      <c r="V342" s="2543"/>
      <c r="W342" s="2543"/>
      <c r="X342" s="2543"/>
      <c r="Y342" s="2543"/>
      <c r="Z342" s="2543"/>
      <c r="AA342" s="2543"/>
      <c r="AB342" s="2543"/>
      <c r="AC342" s="2543"/>
      <c r="AD342" s="2544"/>
      <c r="AE342" s="550"/>
      <c r="AF342" s="550"/>
      <c r="AG342" s="539"/>
      <c r="AH342" s="550"/>
      <c r="AI342" s="550"/>
      <c r="AJ342" s="549"/>
      <c r="AK342" s="549"/>
      <c r="AL342" s="549"/>
      <c r="AM342" s="549"/>
      <c r="AN342" s="73"/>
      <c r="AO342" s="14"/>
    </row>
    <row r="343" spans="1:42" hidden="1">
      <c r="A343" s="549"/>
      <c r="B343" s="550"/>
      <c r="C343" s="647"/>
      <c r="D343" s="647"/>
      <c r="E343" s="546"/>
      <c r="F343" s="650"/>
      <c r="G343" s="550"/>
      <c r="H343" s="550"/>
      <c r="I343" s="2543"/>
      <c r="J343" s="2543"/>
      <c r="K343" s="2543"/>
      <c r="L343" s="2543"/>
      <c r="M343" s="2543"/>
      <c r="N343" s="2543"/>
      <c r="O343" s="2543"/>
      <c r="P343" s="2543"/>
      <c r="Q343" s="2543"/>
      <c r="R343" s="2543"/>
      <c r="S343" s="2543"/>
      <c r="T343" s="2543"/>
      <c r="U343" s="2543"/>
      <c r="V343" s="2543"/>
      <c r="W343" s="2543"/>
      <c r="X343" s="2543"/>
      <c r="Y343" s="2543"/>
      <c r="Z343" s="2543"/>
      <c r="AA343" s="2543"/>
      <c r="AB343" s="2543"/>
      <c r="AC343" s="2543"/>
      <c r="AD343" s="2544"/>
      <c r="AE343" s="550"/>
      <c r="AF343" s="550"/>
      <c r="AG343" s="539"/>
      <c r="AH343" s="550"/>
      <c r="AI343" s="550"/>
      <c r="AJ343" s="549"/>
      <c r="AK343" s="549"/>
      <c r="AL343" s="549"/>
      <c r="AM343" s="549"/>
      <c r="AN343" s="73"/>
      <c r="AO343" s="14"/>
      <c r="AP343" s="555" t="s">
        <v>1184</v>
      </c>
    </row>
    <row r="344" spans="1:42" hidden="1">
      <c r="A344" s="549"/>
      <c r="B344" s="550"/>
      <c r="C344" s="647"/>
      <c r="D344" s="647"/>
      <c r="E344" s="546"/>
      <c r="F344" s="653"/>
      <c r="G344" s="654"/>
      <c r="H344" s="654"/>
      <c r="I344" s="2545"/>
      <c r="J344" s="2545"/>
      <c r="K344" s="2545"/>
      <c r="L344" s="2545"/>
      <c r="M344" s="2545"/>
      <c r="N344" s="2545"/>
      <c r="O344" s="2545"/>
      <c r="P344" s="2545"/>
      <c r="Q344" s="2545"/>
      <c r="R344" s="2545"/>
      <c r="S344" s="2545"/>
      <c r="T344" s="2545"/>
      <c r="U344" s="2545"/>
      <c r="V344" s="2545"/>
      <c r="W344" s="2545"/>
      <c r="X344" s="2545"/>
      <c r="Y344" s="2545"/>
      <c r="Z344" s="2545"/>
      <c r="AA344" s="2545"/>
      <c r="AB344" s="2545"/>
      <c r="AC344" s="2545"/>
      <c r="AD344" s="2546"/>
      <c r="AE344" s="550"/>
      <c r="AF344" s="550"/>
      <c r="AG344" s="539"/>
      <c r="AH344" s="550"/>
      <c r="AI344" s="550"/>
      <c r="AJ344" s="549"/>
      <c r="AK344" s="549"/>
      <c r="AL344" s="549"/>
      <c r="AM344" s="549"/>
      <c r="AN344" s="73"/>
      <c r="AO344" s="14"/>
      <c r="AP344" s="555" t="s">
        <v>1383</v>
      </c>
    </row>
    <row r="345" spans="1:42" hidden="1">
      <c r="A345" s="549"/>
      <c r="B345" s="550"/>
      <c r="C345" s="549"/>
      <c r="D345" s="550"/>
      <c r="E345" s="549"/>
      <c r="F345" s="614"/>
      <c r="G345" s="550"/>
      <c r="H345" s="550"/>
      <c r="I345" s="550"/>
      <c r="J345" s="550"/>
      <c r="K345" s="550"/>
      <c r="L345" s="550"/>
      <c r="M345" s="550"/>
      <c r="N345" s="550"/>
      <c r="O345" s="550"/>
      <c r="P345" s="550"/>
      <c r="Q345" s="550"/>
      <c r="R345" s="550"/>
      <c r="S345" s="550"/>
      <c r="T345" s="550"/>
      <c r="U345" s="550"/>
      <c r="V345" s="550"/>
      <c r="W345" s="550"/>
      <c r="X345" s="550"/>
      <c r="Y345" s="550"/>
      <c r="Z345" s="550"/>
      <c r="AA345" s="550"/>
      <c r="AB345" s="550"/>
      <c r="AC345" s="550"/>
      <c r="AD345" s="550"/>
      <c r="AE345" s="550"/>
      <c r="AF345" s="550"/>
      <c r="AG345" s="550"/>
      <c r="AH345" s="550"/>
      <c r="AI345" s="550"/>
      <c r="AJ345" s="549"/>
      <c r="AK345" s="549"/>
      <c r="AL345" s="549"/>
      <c r="AM345" s="549"/>
      <c r="AN345" s="73"/>
      <c r="AO345" s="14"/>
      <c r="AP345" s="555" t="s">
        <v>1627</v>
      </c>
    </row>
    <row r="346" spans="1:42" ht="12.75" hidden="1" customHeight="1">
      <c r="A346" s="1577" t="s">
        <v>1384</v>
      </c>
      <c r="B346" s="1577"/>
      <c r="C346" s="2409" t="s">
        <v>591</v>
      </c>
      <c r="D346" s="2409"/>
      <c r="E346" s="546"/>
      <c r="F346" s="2450" t="s">
        <v>1988</v>
      </c>
      <c r="G346" s="2451"/>
      <c r="H346" s="2451"/>
      <c r="I346" s="2451"/>
      <c r="J346" s="2451"/>
      <c r="K346" s="2451"/>
      <c r="L346" s="2451"/>
      <c r="M346" s="2451"/>
      <c r="N346" s="2451"/>
      <c r="O346" s="2451"/>
      <c r="P346" s="2451"/>
      <c r="Q346" s="2451"/>
      <c r="R346" s="2451"/>
      <c r="S346" s="2451"/>
      <c r="T346" s="2451"/>
      <c r="U346" s="2451"/>
      <c r="V346" s="2451"/>
      <c r="W346" s="2451"/>
      <c r="X346" s="2451"/>
      <c r="Y346" s="2451"/>
      <c r="Z346" s="2451"/>
      <c r="AA346" s="2451"/>
      <c r="AB346" s="2451"/>
      <c r="AC346" s="2451"/>
      <c r="AD346" s="2452"/>
      <c r="AE346" s="550"/>
      <c r="AF346" s="550"/>
      <c r="AG346" s="539" t="s">
        <v>1380</v>
      </c>
      <c r="AH346" s="550"/>
      <c r="AI346" s="550"/>
      <c r="AJ346" s="549"/>
      <c r="AK346" s="549"/>
      <c r="AL346" s="549"/>
      <c r="AM346" s="549"/>
      <c r="AN346" s="73"/>
      <c r="AO346" s="14"/>
    </row>
    <row r="347" spans="1:42" ht="15" hidden="1" customHeight="1">
      <c r="A347" s="549"/>
      <c r="B347" s="550"/>
      <c r="C347" s="550"/>
      <c r="D347" s="550"/>
      <c r="E347" s="550"/>
      <c r="F347" s="2453"/>
      <c r="G347" s="2454"/>
      <c r="H347" s="2454"/>
      <c r="I347" s="2454"/>
      <c r="J347" s="2454"/>
      <c r="K347" s="2454"/>
      <c r="L347" s="2454"/>
      <c r="M347" s="2454"/>
      <c r="N347" s="2454"/>
      <c r="O347" s="2454"/>
      <c r="P347" s="2454"/>
      <c r="Q347" s="2454"/>
      <c r="R347" s="2454"/>
      <c r="S347" s="2454"/>
      <c r="T347" s="2454"/>
      <c r="U347" s="2454"/>
      <c r="V347" s="2454"/>
      <c r="W347" s="2454"/>
      <c r="X347" s="2454"/>
      <c r="Y347" s="2454"/>
      <c r="Z347" s="2454"/>
      <c r="AA347" s="2454"/>
      <c r="AB347" s="2454"/>
      <c r="AC347" s="2454"/>
      <c r="AD347" s="2455"/>
      <c r="AE347" s="550"/>
      <c r="AF347" s="550"/>
      <c r="AG347" s="550"/>
      <c r="AH347" s="550"/>
      <c r="AI347" s="550"/>
      <c r="AJ347" s="549"/>
      <c r="AK347" s="549"/>
      <c r="AL347" s="549"/>
      <c r="AM347" s="549"/>
      <c r="AN347" s="73"/>
      <c r="AO347" s="14"/>
    </row>
    <row r="348" spans="1:42" ht="15" hidden="1" customHeight="1">
      <c r="A348" s="549"/>
      <c r="B348" s="550"/>
      <c r="C348" s="550"/>
      <c r="D348" s="550"/>
      <c r="E348" s="550"/>
      <c r="F348" s="2453"/>
      <c r="G348" s="2454"/>
      <c r="H348" s="2454"/>
      <c r="I348" s="2454"/>
      <c r="J348" s="2454"/>
      <c r="K348" s="2454"/>
      <c r="L348" s="2454"/>
      <c r="M348" s="2454"/>
      <c r="N348" s="2454"/>
      <c r="O348" s="2454"/>
      <c r="P348" s="2454"/>
      <c r="Q348" s="2454"/>
      <c r="R348" s="2454"/>
      <c r="S348" s="2454"/>
      <c r="T348" s="2454"/>
      <c r="U348" s="2454"/>
      <c r="V348" s="2454"/>
      <c r="W348" s="2454"/>
      <c r="X348" s="2454"/>
      <c r="Y348" s="2454"/>
      <c r="Z348" s="2454"/>
      <c r="AA348" s="2454"/>
      <c r="AB348" s="2454"/>
      <c r="AC348" s="2454"/>
      <c r="AD348" s="2455"/>
      <c r="AE348" s="550"/>
      <c r="AF348" s="550"/>
      <c r="AG348" s="550"/>
      <c r="AH348" s="550"/>
      <c r="AI348" s="550"/>
      <c r="AJ348" s="549"/>
      <c r="AK348" s="549"/>
      <c r="AL348" s="549"/>
      <c r="AM348" s="655"/>
      <c r="AN348" s="14"/>
      <c r="AO348" s="14"/>
    </row>
    <row r="349" spans="1:42" hidden="1">
      <c r="A349" s="549"/>
      <c r="B349" s="550"/>
      <c r="C349" s="549"/>
      <c r="D349" s="550"/>
      <c r="E349" s="549"/>
      <c r="F349" s="656" t="s">
        <v>1385</v>
      </c>
      <c r="G349" s="657"/>
      <c r="H349" s="657"/>
      <c r="I349" s="657"/>
      <c r="J349" s="657"/>
      <c r="K349" s="657"/>
      <c r="L349" s="657"/>
      <c r="M349" s="657"/>
      <c r="N349" s="657"/>
      <c r="O349" s="657"/>
      <c r="P349" s="657"/>
      <c r="Q349" s="657"/>
      <c r="R349" s="657"/>
      <c r="S349" s="657"/>
      <c r="T349" s="657"/>
      <c r="U349" s="657"/>
      <c r="V349" s="657"/>
      <c r="W349" s="657"/>
      <c r="X349" s="657"/>
      <c r="Y349" s="657"/>
      <c r="Z349" s="657"/>
      <c r="AA349" s="657"/>
      <c r="AB349" s="657"/>
      <c r="AC349" s="657"/>
      <c r="AD349" s="658"/>
      <c r="AE349" s="550"/>
      <c r="AF349" s="550"/>
      <c r="AG349" s="550"/>
      <c r="AH349" s="550"/>
      <c r="AI349" s="550"/>
      <c r="AJ349" s="549"/>
      <c r="AK349" s="549"/>
      <c r="AL349" s="549"/>
      <c r="AM349" s="655"/>
      <c r="AN349" s="30"/>
    </row>
    <row r="350" spans="1:42" hidden="1">
      <c r="A350" s="549"/>
      <c r="B350" s="550"/>
      <c r="C350" s="549"/>
      <c r="D350" s="550"/>
      <c r="E350" s="549"/>
      <c r="F350" s="659"/>
      <c r="G350" s="659"/>
      <c r="H350" s="659"/>
      <c r="I350" s="659"/>
      <c r="J350" s="659"/>
      <c r="K350" s="659"/>
      <c r="L350" s="659"/>
      <c r="M350" s="659"/>
      <c r="N350" s="659"/>
      <c r="O350" s="659"/>
      <c r="P350" s="659"/>
      <c r="Q350" s="659"/>
      <c r="R350" s="659"/>
      <c r="S350" s="659"/>
      <c r="T350" s="659"/>
      <c r="U350" s="659"/>
      <c r="V350" s="659"/>
      <c r="W350" s="659"/>
      <c r="X350" s="659"/>
      <c r="Y350" s="659"/>
      <c r="Z350" s="659"/>
      <c r="AA350" s="659"/>
      <c r="AB350" s="659"/>
      <c r="AC350" s="659"/>
      <c r="AD350" s="659"/>
      <c r="AE350" s="550"/>
      <c r="AF350" s="550"/>
      <c r="AG350" s="550"/>
      <c r="AH350" s="550"/>
      <c r="AI350" s="550"/>
      <c r="AJ350" s="549"/>
      <c r="AK350" s="549"/>
      <c r="AL350" s="549"/>
      <c r="AM350" s="655"/>
      <c r="AN350" s="30"/>
    </row>
    <row r="351" spans="1:42">
      <c r="A351" s="604"/>
      <c r="B351" s="660"/>
      <c r="C351" s="660"/>
      <c r="D351" s="660"/>
      <c r="E351" s="660"/>
      <c r="F351" s="660"/>
      <c r="G351" s="660"/>
      <c r="H351" s="660"/>
      <c r="I351" s="660"/>
      <c r="J351" s="660"/>
      <c r="K351" s="660"/>
      <c r="L351" s="660"/>
      <c r="M351" s="660"/>
      <c r="N351" s="660"/>
      <c r="O351" s="660"/>
      <c r="P351" s="660"/>
      <c r="Q351" s="660"/>
      <c r="R351" s="660"/>
      <c r="S351" s="660"/>
      <c r="T351" s="660"/>
      <c r="U351" s="660"/>
      <c r="V351" s="660"/>
      <c r="W351" s="660"/>
      <c r="X351" s="660"/>
      <c r="Y351" s="660"/>
      <c r="Z351" s="660"/>
      <c r="AA351" s="660"/>
      <c r="AB351" s="660"/>
      <c r="AC351" s="661"/>
      <c r="AD351" s="660"/>
      <c r="AE351" s="562"/>
      <c r="AF351" s="562"/>
      <c r="AG351" s="562"/>
      <c r="AH351" s="562"/>
      <c r="AI351" s="563"/>
      <c r="AJ351" s="563" t="s">
        <v>2597</v>
      </c>
      <c r="AK351" s="2390">
        <f>IF(NOT(OR(Application!M364="Yes",Application!M365="Yes")),0,AP308)</f>
        <v>9</v>
      </c>
      <c r="AL351" s="2436"/>
      <c r="AM351" s="2391"/>
      <c r="AN351" s="30"/>
    </row>
    <row r="352" spans="1:42" s="549" customFormat="1" ht="12.75" customHeight="1" thickBot="1">
      <c r="A352" s="619"/>
      <c r="B352" s="619"/>
      <c r="C352" s="619"/>
      <c r="D352" s="619"/>
      <c r="E352" s="619"/>
      <c r="F352" s="619"/>
      <c r="G352" s="619"/>
      <c r="H352" s="619"/>
      <c r="I352" s="619"/>
      <c r="J352" s="619"/>
      <c r="K352" s="619"/>
      <c r="L352" s="619"/>
      <c r="M352" s="619"/>
      <c r="N352" s="619"/>
      <c r="O352" s="619"/>
      <c r="P352" s="619"/>
      <c r="Q352" s="619"/>
      <c r="R352" s="619"/>
      <c r="S352" s="619"/>
      <c r="T352" s="619"/>
      <c r="U352" s="619"/>
      <c r="V352" s="619"/>
      <c r="W352" s="619"/>
      <c r="X352" s="619"/>
      <c r="Y352" s="619"/>
      <c r="Z352" s="619"/>
      <c r="AA352" s="619"/>
      <c r="AB352" s="619"/>
      <c r="AC352" s="619"/>
      <c r="AD352" s="619"/>
      <c r="AE352" s="619"/>
      <c r="AF352" s="619"/>
      <c r="AG352" s="619"/>
      <c r="AH352" s="619"/>
      <c r="AI352" s="619"/>
      <c r="AJ352" s="619"/>
      <c r="AK352" s="619"/>
      <c r="AL352" s="619"/>
      <c r="AM352" s="619"/>
      <c r="AN352" s="595"/>
    </row>
    <row r="353" spans="1:44" s="549" customFormat="1" ht="12.75" customHeight="1" thickTop="1">
      <c r="A353" s="14"/>
      <c r="B353" s="14"/>
      <c r="C353" s="14"/>
      <c r="D353" s="14"/>
      <c r="E353" s="14"/>
      <c r="F353" s="14"/>
      <c r="G353" s="14"/>
      <c r="H353" s="14"/>
      <c r="I353" s="14"/>
      <c r="J353" s="14"/>
      <c r="K353" s="14"/>
      <c r="L353" s="14"/>
      <c r="M353" s="14"/>
      <c r="N353" s="14"/>
      <c r="O353" s="14"/>
      <c r="P353" s="14"/>
      <c r="Q353" s="14"/>
      <c r="R353" s="14"/>
      <c r="S353" s="14"/>
      <c r="T353" s="14"/>
      <c r="U353" s="14"/>
      <c r="V353" s="14"/>
      <c r="W353" s="14"/>
      <c r="X353" s="14"/>
      <c r="Y353" s="14"/>
      <c r="Z353" s="14"/>
      <c r="AA353" s="14"/>
      <c r="AB353" s="14"/>
      <c r="AC353" s="14"/>
      <c r="AD353" s="14"/>
      <c r="AE353" s="14"/>
      <c r="AF353" s="14"/>
      <c r="AG353" s="14"/>
      <c r="AH353" s="14"/>
      <c r="AI353" s="14"/>
      <c r="AJ353" s="14"/>
      <c r="AK353" s="14"/>
      <c r="AL353" s="14"/>
      <c r="AM353" s="14"/>
      <c r="AN353" s="595"/>
    </row>
    <row r="354" spans="1:44" s="549" customFormat="1" ht="12.75" customHeight="1">
      <c r="A354" s="538" t="s">
        <v>1373</v>
      </c>
      <c r="B354" s="539" t="s">
        <v>845</v>
      </c>
      <c r="C354" s="536"/>
      <c r="AC354" s="539"/>
      <c r="AE354" s="2447" t="s">
        <v>1308</v>
      </c>
      <c r="AF354" s="2447"/>
      <c r="AG354" s="2447"/>
      <c r="AH354" s="2447"/>
      <c r="AI354" s="2447"/>
      <c r="AJ354" s="2447"/>
      <c r="AK354" s="2447"/>
      <c r="AL354" s="539"/>
      <c r="AM354" s="539"/>
      <c r="AN354" s="590"/>
    </row>
    <row r="355" spans="1:44" s="549" customFormat="1" ht="12.75" customHeight="1">
      <c r="A355" s="539"/>
      <c r="B355" s="539"/>
      <c r="C355" s="536"/>
      <c r="AC355" s="539"/>
      <c r="AE355" s="543"/>
      <c r="AF355" s="543"/>
      <c r="AG355" s="543"/>
      <c r="AH355" s="543"/>
      <c r="AI355" s="543"/>
      <c r="AJ355" s="543"/>
      <c r="AK355" s="543"/>
      <c r="AL355" s="539"/>
      <c r="AM355" s="539"/>
      <c r="AN355" s="590"/>
    </row>
    <row r="356" spans="1:44" s="549" customFormat="1" ht="12.75" customHeight="1">
      <c r="B356" s="609"/>
      <c r="C356" s="2458" t="s">
        <v>1445</v>
      </c>
      <c r="D356" s="2458"/>
      <c r="E356" s="2458"/>
      <c r="F356" s="2458"/>
      <c r="G356" s="2458"/>
      <c r="H356" s="2458"/>
      <c r="I356" s="2458"/>
      <c r="J356" s="2458"/>
      <c r="K356" s="2458"/>
      <c r="L356" s="2458"/>
      <c r="M356" s="2458"/>
      <c r="N356" s="2458"/>
      <c r="O356" s="2458"/>
      <c r="P356" s="2458"/>
      <c r="Q356" s="2458"/>
      <c r="R356" s="2458"/>
      <c r="S356" s="2458"/>
      <c r="T356" s="2458"/>
      <c r="U356" s="2458"/>
      <c r="V356" s="2458"/>
      <c r="W356" s="2458"/>
      <c r="X356" s="2458"/>
      <c r="Y356" s="2458"/>
      <c r="Z356" s="2458"/>
      <c r="AA356" s="2458"/>
      <c r="AB356" s="2458"/>
      <c r="AC356" s="2458"/>
      <c r="AD356" s="2458"/>
      <c r="AE356" s="2458"/>
      <c r="AF356" s="2458"/>
      <c r="AG356" s="2458"/>
      <c r="AH356" s="2458"/>
      <c r="AI356" s="2458"/>
      <c r="AJ356" s="2458"/>
      <c r="AK356" s="601"/>
      <c r="AL356" s="601"/>
      <c r="AM356" s="601"/>
      <c r="AN356" s="595"/>
    </row>
    <row r="357" spans="1:44" s="549" customFormat="1" ht="12.75" customHeight="1">
      <c r="A357" s="601"/>
      <c r="B357" s="609"/>
      <c r="C357" s="2458"/>
      <c r="D357" s="2458"/>
      <c r="E357" s="2458"/>
      <c r="F357" s="2458"/>
      <c r="G357" s="2458"/>
      <c r="H357" s="2458"/>
      <c r="I357" s="2458"/>
      <c r="J357" s="2458"/>
      <c r="K357" s="2458"/>
      <c r="L357" s="2458"/>
      <c r="M357" s="2458"/>
      <c r="N357" s="2458"/>
      <c r="O357" s="2458"/>
      <c r="P357" s="2458"/>
      <c r="Q357" s="2458"/>
      <c r="R357" s="2458"/>
      <c r="S357" s="2458"/>
      <c r="T357" s="2458"/>
      <c r="U357" s="2458"/>
      <c r="V357" s="2458"/>
      <c r="W357" s="2458"/>
      <c r="X357" s="2458"/>
      <c r="Y357" s="2458"/>
      <c r="Z357" s="2458"/>
      <c r="AA357" s="2458"/>
      <c r="AB357" s="2458"/>
      <c r="AC357" s="2458"/>
      <c r="AD357" s="2458"/>
      <c r="AE357" s="2458"/>
      <c r="AF357" s="2458"/>
      <c r="AG357" s="2458"/>
      <c r="AH357" s="2458"/>
      <c r="AI357" s="2458"/>
      <c r="AJ357" s="2458"/>
      <c r="AK357" s="601"/>
      <c r="AL357" s="601"/>
      <c r="AM357" s="601"/>
      <c r="AN357" s="595"/>
    </row>
    <row r="358" spans="1:44" s="549" customFormat="1" ht="12.75" customHeight="1">
      <c r="A358" s="601"/>
      <c r="B358" s="609"/>
      <c r="C358" s="2458"/>
      <c r="D358" s="2458"/>
      <c r="E358" s="2458"/>
      <c r="F358" s="2458"/>
      <c r="G358" s="2458"/>
      <c r="H358" s="2458"/>
      <c r="I358" s="2458"/>
      <c r="J358" s="2458"/>
      <c r="K358" s="2458"/>
      <c r="L358" s="2458"/>
      <c r="M358" s="2458"/>
      <c r="N358" s="2458"/>
      <c r="O358" s="2458"/>
      <c r="P358" s="2458"/>
      <c r="Q358" s="2458"/>
      <c r="R358" s="2458"/>
      <c r="S358" s="2458"/>
      <c r="T358" s="2458"/>
      <c r="U358" s="2458"/>
      <c r="V358" s="2458"/>
      <c r="W358" s="2458"/>
      <c r="X358" s="2458"/>
      <c r="Y358" s="2458"/>
      <c r="Z358" s="2458"/>
      <c r="AA358" s="2458"/>
      <c r="AB358" s="2458"/>
      <c r="AC358" s="2458"/>
      <c r="AD358" s="2458"/>
      <c r="AE358" s="2458"/>
      <c r="AF358" s="2458"/>
      <c r="AG358" s="2458"/>
      <c r="AH358" s="2458"/>
      <c r="AI358" s="2458"/>
      <c r="AJ358" s="2458"/>
      <c r="AK358" s="601"/>
      <c r="AL358" s="601"/>
      <c r="AM358" s="601"/>
      <c r="AN358" s="595"/>
      <c r="AQ358" s="568"/>
    </row>
    <row r="359" spans="1:44" s="549" customFormat="1" ht="12.75" customHeight="1">
      <c r="A359" s="601"/>
      <c r="B359" s="609"/>
      <c r="C359" s="2458"/>
      <c r="D359" s="2458"/>
      <c r="E359" s="2458"/>
      <c r="F359" s="2458"/>
      <c r="G359" s="2458"/>
      <c r="H359" s="2458"/>
      <c r="I359" s="2458"/>
      <c r="J359" s="2458"/>
      <c r="K359" s="2458"/>
      <c r="L359" s="2458"/>
      <c r="M359" s="2458"/>
      <c r="N359" s="2458"/>
      <c r="O359" s="2458"/>
      <c r="P359" s="2458"/>
      <c r="Q359" s="2458"/>
      <c r="R359" s="2458"/>
      <c r="S359" s="2458"/>
      <c r="T359" s="2458"/>
      <c r="U359" s="2458"/>
      <c r="V359" s="2458"/>
      <c r="W359" s="2458"/>
      <c r="X359" s="2458"/>
      <c r="Y359" s="2458"/>
      <c r="Z359" s="2458"/>
      <c r="AA359" s="2458"/>
      <c r="AB359" s="2458"/>
      <c r="AC359" s="2458"/>
      <c r="AD359" s="2458"/>
      <c r="AE359" s="2458"/>
      <c r="AF359" s="2458"/>
      <c r="AG359" s="2458"/>
      <c r="AH359" s="2458"/>
      <c r="AI359" s="2458"/>
      <c r="AJ359" s="2458"/>
      <c r="AK359" s="601"/>
      <c r="AL359" s="601"/>
      <c r="AM359" s="601"/>
      <c r="AN359" s="595"/>
      <c r="AQ359" s="568"/>
    </row>
    <row r="360" spans="1:44" s="549" customFormat="1" ht="12.4" customHeight="1">
      <c r="A360" s="601"/>
      <c r="B360" s="609"/>
      <c r="C360" s="2458"/>
      <c r="D360" s="2458"/>
      <c r="E360" s="2458"/>
      <c r="F360" s="2458"/>
      <c r="G360" s="2458"/>
      <c r="H360" s="2458"/>
      <c r="I360" s="2458"/>
      <c r="J360" s="2458"/>
      <c r="K360" s="2458"/>
      <c r="L360" s="2458"/>
      <c r="M360" s="2458"/>
      <c r="N360" s="2458"/>
      <c r="O360" s="2458"/>
      <c r="P360" s="2458"/>
      <c r="Q360" s="2458"/>
      <c r="R360" s="2458"/>
      <c r="S360" s="2458"/>
      <c r="T360" s="2458"/>
      <c r="U360" s="2458"/>
      <c r="V360" s="2458"/>
      <c r="W360" s="2458"/>
      <c r="X360" s="2458"/>
      <c r="Y360" s="2458"/>
      <c r="Z360" s="2458"/>
      <c r="AA360" s="2458"/>
      <c r="AB360" s="2458"/>
      <c r="AC360" s="2458"/>
      <c r="AD360" s="2458"/>
      <c r="AE360" s="2458"/>
      <c r="AF360" s="2458"/>
      <c r="AG360" s="2458"/>
      <c r="AH360" s="2458"/>
      <c r="AI360" s="2458"/>
      <c r="AJ360" s="2458"/>
      <c r="AK360" s="601"/>
      <c r="AL360" s="601"/>
      <c r="AM360" s="601"/>
      <c r="AN360" s="595"/>
      <c r="AQ360" s="568"/>
      <c r="AR360" s="568"/>
    </row>
    <row r="361" spans="1:44" s="549" customFormat="1" ht="45.75" customHeight="1">
      <c r="A361" s="601"/>
      <c r="B361" s="609"/>
      <c r="C361" s="2458" t="s">
        <v>2047</v>
      </c>
      <c r="D361" s="2458"/>
      <c r="E361" s="2458"/>
      <c r="F361" s="2458"/>
      <c r="G361" s="2458"/>
      <c r="H361" s="2458"/>
      <c r="I361" s="2458"/>
      <c r="J361" s="2458"/>
      <c r="K361" s="2458"/>
      <c r="L361" s="2458"/>
      <c r="M361" s="2458"/>
      <c r="N361" s="2458"/>
      <c r="O361" s="2458"/>
      <c r="P361" s="2458"/>
      <c r="Q361" s="2458"/>
      <c r="R361" s="2458"/>
      <c r="S361" s="2458"/>
      <c r="T361" s="2458"/>
      <c r="U361" s="2458"/>
      <c r="V361" s="2458"/>
      <c r="W361" s="2458"/>
      <c r="X361" s="2458"/>
      <c r="Y361" s="2458"/>
      <c r="Z361" s="2458"/>
      <c r="AA361" s="2458"/>
      <c r="AB361" s="2458"/>
      <c r="AC361" s="2458"/>
      <c r="AD361" s="2458"/>
      <c r="AE361" s="2458"/>
      <c r="AF361" s="2458"/>
      <c r="AG361" s="2458"/>
      <c r="AH361" s="2458"/>
      <c r="AI361" s="2458"/>
      <c r="AJ361" s="2458"/>
      <c r="AK361" s="601"/>
      <c r="AL361" s="601"/>
      <c r="AM361" s="601"/>
      <c r="AN361" s="595"/>
      <c r="AQ361" s="568"/>
      <c r="AR361" s="568"/>
    </row>
    <row r="362" spans="1:44" s="549" customFormat="1" ht="12.4" customHeight="1">
      <c r="A362" s="601"/>
      <c r="B362" s="609"/>
      <c r="C362" s="689"/>
      <c r="D362" s="689"/>
      <c r="E362" s="689"/>
      <c r="F362" s="689"/>
      <c r="G362" s="689"/>
      <c r="H362" s="689"/>
      <c r="I362" s="689"/>
      <c r="J362" s="689"/>
      <c r="K362" s="689"/>
      <c r="L362" s="689"/>
      <c r="M362" s="689"/>
      <c r="N362" s="689"/>
      <c r="O362" s="689"/>
      <c r="P362" s="689"/>
      <c r="Q362" s="689"/>
      <c r="R362" s="689"/>
      <c r="S362" s="689"/>
      <c r="T362" s="689"/>
      <c r="U362" s="689"/>
      <c r="V362" s="689"/>
      <c r="W362" s="689"/>
      <c r="X362" s="689"/>
      <c r="Y362" s="689"/>
      <c r="Z362" s="689"/>
      <c r="AA362" s="689"/>
      <c r="AB362" s="689"/>
      <c r="AC362" s="689"/>
      <c r="AD362" s="689"/>
      <c r="AE362" s="689"/>
      <c r="AF362" s="689"/>
      <c r="AG362" s="689"/>
      <c r="AH362" s="689"/>
      <c r="AI362" s="689"/>
      <c r="AJ362" s="689"/>
      <c r="AK362" s="601"/>
      <c r="AL362" s="601"/>
      <c r="AM362" s="601"/>
      <c r="AN362" s="595"/>
      <c r="AQ362" s="568"/>
      <c r="AR362" s="568"/>
    </row>
    <row r="363" spans="1:44" s="549" customFormat="1" ht="12.75" customHeight="1">
      <c r="A363" s="601"/>
      <c r="B363" s="609"/>
      <c r="C363" s="2458" t="s">
        <v>2161</v>
      </c>
      <c r="D363" s="2458"/>
      <c r="E363" s="2458"/>
      <c r="F363" s="2458"/>
      <c r="G363" s="2458"/>
      <c r="H363" s="2458"/>
      <c r="I363" s="2458"/>
      <c r="J363" s="2458"/>
      <c r="K363" s="2458"/>
      <c r="L363" s="2458"/>
      <c r="M363" s="2458"/>
      <c r="N363" s="2458"/>
      <c r="O363" s="2458"/>
      <c r="P363" s="2458"/>
      <c r="Q363" s="2458"/>
      <c r="R363" s="2458"/>
      <c r="S363" s="2458"/>
      <c r="T363" s="2458"/>
      <c r="U363" s="2458"/>
      <c r="V363" s="2458"/>
      <c r="W363" s="2458"/>
      <c r="X363" s="2458"/>
      <c r="Y363" s="2458"/>
      <c r="Z363" s="2458"/>
      <c r="AA363" s="2458"/>
      <c r="AB363" s="2458"/>
      <c r="AC363" s="2458"/>
      <c r="AD363" s="2458"/>
      <c r="AE363" s="2458"/>
      <c r="AF363" s="2458"/>
      <c r="AG363" s="2458"/>
      <c r="AH363" s="2458"/>
      <c r="AI363" s="2458"/>
      <c r="AJ363" s="2458"/>
      <c r="AK363" s="601"/>
      <c r="AL363" s="601"/>
      <c r="AM363" s="601"/>
      <c r="AN363" s="595"/>
      <c r="AQ363" s="568"/>
      <c r="AR363" s="568"/>
    </row>
    <row r="364" spans="1:44" s="549" customFormat="1" ht="30" customHeight="1">
      <c r="A364" s="601"/>
      <c r="B364" s="609"/>
      <c r="C364" s="2458"/>
      <c r="D364" s="2458"/>
      <c r="E364" s="2458"/>
      <c r="F364" s="2458"/>
      <c r="G364" s="2458"/>
      <c r="H364" s="2458"/>
      <c r="I364" s="2458"/>
      <c r="J364" s="2458"/>
      <c r="K364" s="2458"/>
      <c r="L364" s="2458"/>
      <c r="M364" s="2458"/>
      <c r="N364" s="2458"/>
      <c r="O364" s="2458"/>
      <c r="P364" s="2458"/>
      <c r="Q364" s="2458"/>
      <c r="R364" s="2458"/>
      <c r="S364" s="2458"/>
      <c r="T364" s="2458"/>
      <c r="U364" s="2458"/>
      <c r="V364" s="2458"/>
      <c r="W364" s="2458"/>
      <c r="X364" s="2458"/>
      <c r="Y364" s="2458"/>
      <c r="Z364" s="2458"/>
      <c r="AA364" s="2458"/>
      <c r="AB364" s="2458"/>
      <c r="AC364" s="2458"/>
      <c r="AD364" s="2458"/>
      <c r="AE364" s="2458"/>
      <c r="AF364" s="2458"/>
      <c r="AG364" s="2458"/>
      <c r="AH364" s="2458"/>
      <c r="AI364" s="2458"/>
      <c r="AJ364" s="2458"/>
      <c r="AK364" s="601"/>
      <c r="AL364" s="601"/>
      <c r="AM364" s="601"/>
      <c r="AN364" s="595"/>
      <c r="AR364" s="568"/>
    </row>
    <row r="365" spans="1:44" s="549" customFormat="1" ht="12.75" customHeight="1">
      <c r="A365" s="601"/>
      <c r="B365" s="609"/>
      <c r="C365" s="2458"/>
      <c r="D365" s="2458"/>
      <c r="E365" s="2458"/>
      <c r="F365" s="2458"/>
      <c r="G365" s="2458"/>
      <c r="H365" s="2458"/>
      <c r="I365" s="2458"/>
      <c r="J365" s="2458"/>
      <c r="K365" s="2458"/>
      <c r="L365" s="2458"/>
      <c r="M365" s="2458"/>
      <c r="N365" s="2458"/>
      <c r="O365" s="2458"/>
      <c r="P365" s="2458"/>
      <c r="Q365" s="2458"/>
      <c r="R365" s="2458"/>
      <c r="S365" s="2458"/>
      <c r="T365" s="2458"/>
      <c r="U365" s="2458"/>
      <c r="V365" s="2458"/>
      <c r="W365" s="2458"/>
      <c r="X365" s="2458"/>
      <c r="Y365" s="2458"/>
      <c r="Z365" s="2458"/>
      <c r="AA365" s="2458"/>
      <c r="AB365" s="2458"/>
      <c r="AC365" s="2458"/>
      <c r="AD365" s="2458"/>
      <c r="AE365" s="2458"/>
      <c r="AF365" s="2458"/>
      <c r="AG365" s="2458"/>
      <c r="AH365" s="2458"/>
      <c r="AI365" s="2458"/>
      <c r="AJ365" s="2458"/>
      <c r="AK365" s="601"/>
      <c r="AL365" s="601"/>
      <c r="AM365" s="601"/>
      <c r="AN365" s="595"/>
      <c r="AR365" s="568"/>
    </row>
    <row r="366" spans="1:44" s="549" customFormat="1" ht="12.75" customHeight="1">
      <c r="A366" s="601"/>
      <c r="B366" s="609"/>
      <c r="C366" s="2458" t="s">
        <v>1446</v>
      </c>
      <c r="D366" s="2458"/>
      <c r="E366" s="2458"/>
      <c r="F366" s="2458"/>
      <c r="G366" s="2458"/>
      <c r="H366" s="2458"/>
      <c r="I366" s="2458"/>
      <c r="J366" s="2458"/>
      <c r="K366" s="2458"/>
      <c r="L366" s="2458"/>
      <c r="M366" s="2458"/>
      <c r="N366" s="2458"/>
      <c r="O366" s="2458"/>
      <c r="P366" s="2458"/>
      <c r="Q366" s="2458"/>
      <c r="R366" s="2458"/>
      <c r="S366" s="2458"/>
      <c r="T366" s="2458"/>
      <c r="U366" s="2458"/>
      <c r="V366" s="2458"/>
      <c r="W366" s="2458"/>
      <c r="X366" s="2458"/>
      <c r="Y366" s="2458"/>
      <c r="Z366" s="2458"/>
      <c r="AA366" s="2458"/>
      <c r="AB366" s="2458"/>
      <c r="AC366" s="2458"/>
      <c r="AD366" s="2458"/>
      <c r="AE366" s="2458"/>
      <c r="AF366" s="2458"/>
      <c r="AG366" s="2458"/>
      <c r="AH366" s="2458"/>
      <c r="AI366" s="2458"/>
      <c r="AJ366" s="2458"/>
      <c r="AK366" s="601"/>
      <c r="AL366" s="601"/>
      <c r="AM366" s="601"/>
      <c r="AN366" s="595"/>
      <c r="AQ366" s="568"/>
      <c r="AR366" s="568"/>
    </row>
    <row r="367" spans="1:44" s="549" customFormat="1" ht="12.75" customHeight="1">
      <c r="A367" s="601"/>
      <c r="B367" s="609"/>
      <c r="C367" s="2458"/>
      <c r="D367" s="2458"/>
      <c r="E367" s="2458"/>
      <c r="F367" s="2458"/>
      <c r="G367" s="2458"/>
      <c r="H367" s="2458"/>
      <c r="I367" s="2458"/>
      <c r="J367" s="2458"/>
      <c r="K367" s="2458"/>
      <c r="L367" s="2458"/>
      <c r="M367" s="2458"/>
      <c r="N367" s="2458"/>
      <c r="O367" s="2458"/>
      <c r="P367" s="2458"/>
      <c r="Q367" s="2458"/>
      <c r="R367" s="2458"/>
      <c r="S367" s="2458"/>
      <c r="T367" s="2458"/>
      <c r="U367" s="2458"/>
      <c r="V367" s="2458"/>
      <c r="W367" s="2458"/>
      <c r="X367" s="2458"/>
      <c r="Y367" s="2458"/>
      <c r="Z367" s="2458"/>
      <c r="AA367" s="2458"/>
      <c r="AB367" s="2458"/>
      <c r="AC367" s="2458"/>
      <c r="AD367" s="2458"/>
      <c r="AE367" s="2458"/>
      <c r="AF367" s="2458"/>
      <c r="AG367" s="2458"/>
      <c r="AH367" s="2458"/>
      <c r="AI367" s="2458"/>
      <c r="AJ367" s="2458"/>
      <c r="AK367" s="601"/>
      <c r="AL367" s="601"/>
      <c r="AM367" s="601"/>
      <c r="AN367" s="595"/>
      <c r="AQ367" s="568"/>
      <c r="AR367" s="568"/>
    </row>
    <row r="368" spans="1:44" s="549" customFormat="1" ht="13.15" customHeight="1">
      <c r="A368" s="601"/>
      <c r="B368" s="609"/>
      <c r="C368" s="2458"/>
      <c r="D368" s="2458"/>
      <c r="E368" s="2458"/>
      <c r="F368" s="2458"/>
      <c r="G368" s="2458"/>
      <c r="H368" s="2458"/>
      <c r="I368" s="2458"/>
      <c r="J368" s="2458"/>
      <c r="K368" s="2458"/>
      <c r="L368" s="2458"/>
      <c r="M368" s="2458"/>
      <c r="N368" s="2458"/>
      <c r="O368" s="2458"/>
      <c r="P368" s="2458"/>
      <c r="Q368" s="2458"/>
      <c r="R368" s="2458"/>
      <c r="S368" s="2458"/>
      <c r="T368" s="2458"/>
      <c r="U368" s="2458"/>
      <c r="V368" s="2458"/>
      <c r="W368" s="2458"/>
      <c r="X368" s="2458"/>
      <c r="Y368" s="2458"/>
      <c r="Z368" s="2458"/>
      <c r="AA368" s="2458"/>
      <c r="AB368" s="2458"/>
      <c r="AC368" s="2458"/>
      <c r="AD368" s="2458"/>
      <c r="AE368" s="2458"/>
      <c r="AF368" s="2458"/>
      <c r="AG368" s="2458"/>
      <c r="AH368" s="2458"/>
      <c r="AI368" s="2458"/>
      <c r="AJ368" s="2458"/>
      <c r="AK368" s="601"/>
      <c r="AL368" s="601"/>
      <c r="AM368" s="601"/>
      <c r="AN368" s="595"/>
      <c r="AQ368" s="568"/>
      <c r="AR368" s="568"/>
    </row>
    <row r="369" spans="1:46" s="549" customFormat="1" ht="12.75" customHeight="1">
      <c r="A369" s="601"/>
      <c r="B369" s="609"/>
      <c r="C369" s="2458"/>
      <c r="D369" s="2458"/>
      <c r="E369" s="2458"/>
      <c r="F369" s="2458"/>
      <c r="G369" s="2458"/>
      <c r="H369" s="2458"/>
      <c r="I369" s="2458"/>
      <c r="J369" s="2458"/>
      <c r="K369" s="2458"/>
      <c r="L369" s="2458"/>
      <c r="M369" s="2458"/>
      <c r="N369" s="2458"/>
      <c r="O369" s="2458"/>
      <c r="P369" s="2458"/>
      <c r="Q369" s="2458"/>
      <c r="R369" s="2458"/>
      <c r="S369" s="2458"/>
      <c r="T369" s="2458"/>
      <c r="U369" s="2458"/>
      <c r="V369" s="2458"/>
      <c r="W369" s="2458"/>
      <c r="X369" s="2458"/>
      <c r="Y369" s="2458"/>
      <c r="Z369" s="2458"/>
      <c r="AA369" s="2458"/>
      <c r="AB369" s="2458"/>
      <c r="AC369" s="2458"/>
      <c r="AD369" s="2458"/>
      <c r="AE369" s="2458"/>
      <c r="AF369" s="2458"/>
      <c r="AG369" s="2458"/>
      <c r="AH369" s="2458"/>
      <c r="AI369" s="2458"/>
      <c r="AJ369" s="2458"/>
      <c r="AK369" s="601"/>
      <c r="AL369" s="601"/>
      <c r="AM369" s="601"/>
      <c r="AN369" s="595"/>
      <c r="AO369" s="690"/>
      <c r="AP369" s="690"/>
      <c r="AQ369" s="568"/>
    </row>
    <row r="370" spans="1:46" s="549" customFormat="1" ht="11.85" customHeight="1">
      <c r="A370" s="601"/>
      <c r="B370" s="609"/>
      <c r="C370" s="2458"/>
      <c r="D370" s="2458"/>
      <c r="E370" s="2458"/>
      <c r="F370" s="2458"/>
      <c r="G370" s="2458"/>
      <c r="H370" s="2458"/>
      <c r="I370" s="2458"/>
      <c r="J370" s="2458"/>
      <c r="K370" s="2458"/>
      <c r="L370" s="2458"/>
      <c r="M370" s="2458"/>
      <c r="N370" s="2458"/>
      <c r="O370" s="2458"/>
      <c r="P370" s="2458"/>
      <c r="Q370" s="2458"/>
      <c r="R370" s="2458"/>
      <c r="S370" s="2458"/>
      <c r="T370" s="2458"/>
      <c r="U370" s="2458"/>
      <c r="V370" s="2458"/>
      <c r="W370" s="2458"/>
      <c r="X370" s="2458"/>
      <c r="Y370" s="2458"/>
      <c r="Z370" s="2458"/>
      <c r="AA370" s="2458"/>
      <c r="AB370" s="2458"/>
      <c r="AC370" s="2458"/>
      <c r="AD370" s="2458"/>
      <c r="AE370" s="2458"/>
      <c r="AF370" s="2458"/>
      <c r="AG370" s="2458"/>
      <c r="AH370" s="2458"/>
      <c r="AI370" s="2458"/>
      <c r="AJ370" s="2458"/>
      <c r="AK370" s="601"/>
      <c r="AL370" s="601"/>
      <c r="AM370" s="601"/>
      <c r="AN370" s="595"/>
      <c r="AO370" s="691" t="s">
        <v>112</v>
      </c>
      <c r="AP370" s="692">
        <f>IF(C394="Yes",5,0)</f>
        <v>0</v>
      </c>
      <c r="AS370" s="539" t="s">
        <v>1447</v>
      </c>
    </row>
    <row r="371" spans="1:46" s="549" customFormat="1" ht="12.75" customHeight="1">
      <c r="A371" s="601"/>
      <c r="B371" s="609"/>
      <c r="C371" s="2458"/>
      <c r="D371" s="2458"/>
      <c r="E371" s="2458"/>
      <c r="F371" s="2458"/>
      <c r="G371" s="2458"/>
      <c r="H371" s="2458"/>
      <c r="I371" s="2458"/>
      <c r="J371" s="2458"/>
      <c r="K371" s="2458"/>
      <c r="L371" s="2458"/>
      <c r="M371" s="2458"/>
      <c r="N371" s="2458"/>
      <c r="O371" s="2458"/>
      <c r="P371" s="2458"/>
      <c r="Q371" s="2458"/>
      <c r="R371" s="2458"/>
      <c r="S371" s="2458"/>
      <c r="T371" s="2458"/>
      <c r="U371" s="2458"/>
      <c r="V371" s="2458"/>
      <c r="W371" s="2458"/>
      <c r="X371" s="2458"/>
      <c r="Y371" s="2458"/>
      <c r="Z371" s="2458"/>
      <c r="AA371" s="2458"/>
      <c r="AB371" s="2458"/>
      <c r="AC371" s="2458"/>
      <c r="AD371" s="2458"/>
      <c r="AE371" s="2458"/>
      <c r="AF371" s="2458"/>
      <c r="AG371" s="2458"/>
      <c r="AH371" s="2458"/>
      <c r="AI371" s="2458"/>
      <c r="AJ371" s="2458"/>
      <c r="AK371" s="601"/>
      <c r="AL371" s="601"/>
      <c r="AM371" s="601"/>
      <c r="AN371" s="595"/>
      <c r="AO371" s="691" t="s">
        <v>113</v>
      </c>
      <c r="AP371" s="692">
        <f>IF(C402="Yes",5,0)</f>
        <v>0</v>
      </c>
      <c r="AS371" s="2526">
        <f>IF(Application!D211="Non-Targeted",(SUM(AQ379+AQ388)),AS375)</f>
        <v>10</v>
      </c>
      <c r="AT371" s="2526"/>
    </row>
    <row r="372" spans="1:46" s="549" customFormat="1" ht="12.75" customHeight="1">
      <c r="A372" s="601"/>
      <c r="B372" s="609"/>
      <c r="C372" s="2458"/>
      <c r="D372" s="2458"/>
      <c r="E372" s="2458"/>
      <c r="F372" s="2458"/>
      <c r="G372" s="2458"/>
      <c r="H372" s="2458"/>
      <c r="I372" s="2458"/>
      <c r="J372" s="2458"/>
      <c r="K372" s="2458"/>
      <c r="L372" s="2458"/>
      <c r="M372" s="2458"/>
      <c r="N372" s="2458"/>
      <c r="O372" s="2458"/>
      <c r="P372" s="2458"/>
      <c r="Q372" s="2458"/>
      <c r="R372" s="2458"/>
      <c r="S372" s="2458"/>
      <c r="T372" s="2458"/>
      <c r="U372" s="2458"/>
      <c r="V372" s="2458"/>
      <c r="W372" s="2458"/>
      <c r="X372" s="2458"/>
      <c r="Y372" s="2458"/>
      <c r="Z372" s="2458"/>
      <c r="AA372" s="2458"/>
      <c r="AB372" s="2458"/>
      <c r="AC372" s="2458"/>
      <c r="AD372" s="2458"/>
      <c r="AE372" s="2458"/>
      <c r="AF372" s="2458"/>
      <c r="AG372" s="2458"/>
      <c r="AH372" s="2458"/>
      <c r="AI372" s="2458"/>
      <c r="AJ372" s="2458"/>
      <c r="AK372" s="601"/>
      <c r="AL372" s="601"/>
      <c r="AM372" s="601"/>
      <c r="AN372" s="595"/>
      <c r="AO372" s="691" t="s">
        <v>119</v>
      </c>
      <c r="AP372" s="692">
        <f>IF(C410="Yes",7,0)</f>
        <v>7</v>
      </c>
      <c r="AS372" s="539" t="s">
        <v>1448</v>
      </c>
    </row>
    <row r="373" spans="1:46" s="549" customFormat="1" ht="12.75" customHeight="1">
      <c r="B373" s="609"/>
      <c r="C373" s="2458"/>
      <c r="D373" s="2458"/>
      <c r="E373" s="2458"/>
      <c r="F373" s="2458"/>
      <c r="G373" s="2458"/>
      <c r="H373" s="2458"/>
      <c r="I373" s="2458"/>
      <c r="J373" s="2458"/>
      <c r="K373" s="2458"/>
      <c r="L373" s="2458"/>
      <c r="M373" s="2458"/>
      <c r="N373" s="2458"/>
      <c r="O373" s="2458"/>
      <c r="P373" s="2458"/>
      <c r="Q373" s="2458"/>
      <c r="R373" s="2458"/>
      <c r="S373" s="2458"/>
      <c r="T373" s="2458"/>
      <c r="U373" s="2458"/>
      <c r="V373" s="2458"/>
      <c r="W373" s="2458"/>
      <c r="X373" s="2458"/>
      <c r="Y373" s="2458"/>
      <c r="Z373" s="2458"/>
      <c r="AA373" s="2458"/>
      <c r="AB373" s="2458"/>
      <c r="AC373" s="2458"/>
      <c r="AD373" s="2458"/>
      <c r="AE373" s="2458"/>
      <c r="AF373" s="2458"/>
      <c r="AG373" s="2458"/>
      <c r="AH373" s="2458"/>
      <c r="AI373" s="2458"/>
      <c r="AJ373" s="2458"/>
      <c r="AK373" s="601"/>
      <c r="AL373" s="601"/>
      <c r="AM373" s="601"/>
      <c r="AN373" s="595"/>
      <c r="AO373" s="595"/>
      <c r="AP373" s="692">
        <f>IF(C412="Yes",5,0)</f>
        <v>0</v>
      </c>
      <c r="AS373" s="2526">
        <f>IF(AND(AQ379&gt;0,AQ388&gt;0),(AQ379+AQ388)/2,0)</f>
        <v>0</v>
      </c>
      <c r="AT373" s="2526"/>
    </row>
    <row r="374" spans="1:46" s="549" customFormat="1" ht="12.75" customHeight="1">
      <c r="A374" s="601"/>
      <c r="B374" s="609"/>
      <c r="C374" s="2458"/>
      <c r="D374" s="2458"/>
      <c r="E374" s="2458"/>
      <c r="F374" s="2458"/>
      <c r="G374" s="2458"/>
      <c r="H374" s="2458"/>
      <c r="I374" s="2458"/>
      <c r="J374" s="2458"/>
      <c r="K374" s="2458"/>
      <c r="L374" s="2458"/>
      <c r="M374" s="2458"/>
      <c r="N374" s="2458"/>
      <c r="O374" s="2458"/>
      <c r="P374" s="2458"/>
      <c r="Q374" s="2458"/>
      <c r="R374" s="2458"/>
      <c r="S374" s="2458"/>
      <c r="T374" s="2458"/>
      <c r="U374" s="2458"/>
      <c r="V374" s="2458"/>
      <c r="W374" s="2458"/>
      <c r="X374" s="2458"/>
      <c r="Y374" s="2458"/>
      <c r="Z374" s="2458"/>
      <c r="AA374" s="2458"/>
      <c r="AB374" s="2458"/>
      <c r="AC374" s="2458"/>
      <c r="AD374" s="2458"/>
      <c r="AE374" s="2458"/>
      <c r="AF374" s="2458"/>
      <c r="AG374" s="2458"/>
      <c r="AH374" s="2458"/>
      <c r="AI374" s="2458"/>
      <c r="AJ374" s="2458"/>
      <c r="AK374" s="601"/>
      <c r="AL374" s="601"/>
      <c r="AM374" s="601"/>
      <c r="AN374" s="595"/>
      <c r="AO374" s="691" t="s">
        <v>581</v>
      </c>
      <c r="AP374" s="692">
        <f>IF(C420="Yes",5,0)</f>
        <v>0</v>
      </c>
      <c r="AS374" s="539" t="s">
        <v>1852</v>
      </c>
    </row>
    <row r="375" spans="1:46" s="549" customFormat="1" ht="12.75" customHeight="1">
      <c r="A375" s="601"/>
      <c r="B375" s="609"/>
      <c r="C375" s="2527" t="s">
        <v>2185</v>
      </c>
      <c r="D375" s="2527"/>
      <c r="E375" s="2527"/>
      <c r="F375" s="2527"/>
      <c r="G375" s="2527"/>
      <c r="H375" s="2527"/>
      <c r="I375" s="2527"/>
      <c r="J375" s="2527"/>
      <c r="K375" s="2527"/>
      <c r="L375" s="2527"/>
      <c r="M375" s="2527"/>
      <c r="N375" s="2527"/>
      <c r="O375" s="2527"/>
      <c r="P375" s="2527"/>
      <c r="Q375" s="2527"/>
      <c r="R375" s="2527"/>
      <c r="S375" s="2527"/>
      <c r="T375" s="2527"/>
      <c r="U375" s="2527"/>
      <c r="V375" s="2527"/>
      <c r="W375" s="2527"/>
      <c r="X375" s="2527"/>
      <c r="Y375" s="2527"/>
      <c r="Z375" s="2527"/>
      <c r="AA375" s="2527"/>
      <c r="AB375" s="2527"/>
      <c r="AC375" s="2527"/>
      <c r="AD375" s="2527"/>
      <c r="AE375" s="2527"/>
      <c r="AF375" s="2527"/>
      <c r="AG375" s="2527"/>
      <c r="AH375" s="2527"/>
      <c r="AI375" s="2527"/>
      <c r="AJ375" s="2527"/>
      <c r="AK375" s="601"/>
      <c r="AL375" s="601"/>
      <c r="AM375" s="601"/>
      <c r="AN375" s="595"/>
      <c r="AO375" s="595"/>
      <c r="AP375" s="692">
        <f>IF(C422="Yes",3,0)</f>
        <v>3</v>
      </c>
      <c r="AS375" s="2526">
        <f>IF(AQ379=0,AQ388,AQ379)</f>
        <v>10</v>
      </c>
      <c r="AT375" s="2526"/>
    </row>
    <row r="376" spans="1:46" s="549" customFormat="1" ht="12.75" customHeight="1">
      <c r="A376" s="601"/>
      <c r="B376" s="609"/>
      <c r="C376" s="2527"/>
      <c r="D376" s="2527"/>
      <c r="E376" s="2527"/>
      <c r="F376" s="2527"/>
      <c r="G376" s="2527"/>
      <c r="H376" s="2527"/>
      <c r="I376" s="2527"/>
      <c r="J376" s="2527"/>
      <c r="K376" s="2527"/>
      <c r="L376" s="2527"/>
      <c r="M376" s="2527"/>
      <c r="N376" s="2527"/>
      <c r="O376" s="2527"/>
      <c r="P376" s="2527"/>
      <c r="Q376" s="2527"/>
      <c r="R376" s="2527"/>
      <c r="S376" s="2527"/>
      <c r="T376" s="2527"/>
      <c r="U376" s="2527"/>
      <c r="V376" s="2527"/>
      <c r="W376" s="2527"/>
      <c r="X376" s="2527"/>
      <c r="Y376" s="2527"/>
      <c r="Z376" s="2527"/>
      <c r="AA376" s="2527"/>
      <c r="AB376" s="2527"/>
      <c r="AC376" s="2527"/>
      <c r="AD376" s="2527"/>
      <c r="AE376" s="2527"/>
      <c r="AF376" s="2527"/>
      <c r="AG376" s="2527"/>
      <c r="AH376" s="2527"/>
      <c r="AI376" s="2527"/>
      <c r="AJ376" s="2527"/>
      <c r="AK376" s="601"/>
      <c r="AL376" s="601"/>
      <c r="AM376" s="601"/>
      <c r="AN376" s="595"/>
      <c r="AO376" s="691" t="s">
        <v>763</v>
      </c>
      <c r="AP376" s="692">
        <f>IF(C425="Yes",5,0)</f>
        <v>0</v>
      </c>
    </row>
    <row r="377" spans="1:46" s="549" customFormat="1" ht="12.75" customHeight="1">
      <c r="A377" s="601"/>
      <c r="B377" s="609"/>
      <c r="C377" s="2527"/>
      <c r="D377" s="2527"/>
      <c r="E377" s="2527"/>
      <c r="F377" s="2527"/>
      <c r="G377" s="2527"/>
      <c r="H377" s="2527"/>
      <c r="I377" s="2527"/>
      <c r="J377" s="2527"/>
      <c r="K377" s="2527"/>
      <c r="L377" s="2527"/>
      <c r="M377" s="2527"/>
      <c r="N377" s="2527"/>
      <c r="O377" s="2527"/>
      <c r="P377" s="2527"/>
      <c r="Q377" s="2527"/>
      <c r="R377" s="2527"/>
      <c r="S377" s="2527"/>
      <c r="T377" s="2527"/>
      <c r="U377" s="2527"/>
      <c r="V377" s="2527"/>
      <c r="W377" s="2527"/>
      <c r="X377" s="2527"/>
      <c r="Y377" s="2527"/>
      <c r="Z377" s="2527"/>
      <c r="AA377" s="2527"/>
      <c r="AB377" s="2527"/>
      <c r="AC377" s="2527"/>
      <c r="AD377" s="2527"/>
      <c r="AE377" s="2527"/>
      <c r="AF377" s="2527"/>
      <c r="AG377" s="2527"/>
      <c r="AH377" s="2527"/>
      <c r="AI377" s="2527"/>
      <c r="AJ377" s="2527"/>
      <c r="AK377" s="601"/>
      <c r="AL377" s="601"/>
      <c r="AM377" s="601"/>
      <c r="AN377" s="595"/>
      <c r="AO377" s="691" t="s">
        <v>584</v>
      </c>
      <c r="AP377" s="692">
        <f>IF(C434="Yes",5,0)</f>
        <v>0</v>
      </c>
    </row>
    <row r="378" spans="1:46" s="549" customFormat="1" ht="11.85" customHeight="1">
      <c r="A378" s="601"/>
      <c r="B378" s="609"/>
      <c r="C378" s="2527"/>
      <c r="D378" s="2527"/>
      <c r="E378" s="2527"/>
      <c r="F378" s="2527"/>
      <c r="G378" s="2527"/>
      <c r="H378" s="2527"/>
      <c r="I378" s="2527"/>
      <c r="J378" s="2527"/>
      <c r="K378" s="2527"/>
      <c r="L378" s="2527"/>
      <c r="M378" s="2527"/>
      <c r="N378" s="2527"/>
      <c r="O378" s="2527"/>
      <c r="P378" s="2527"/>
      <c r="Q378" s="2527"/>
      <c r="R378" s="2527"/>
      <c r="S378" s="2527"/>
      <c r="T378" s="2527"/>
      <c r="U378" s="2527"/>
      <c r="V378" s="2527"/>
      <c r="W378" s="2527"/>
      <c r="X378" s="2527"/>
      <c r="Y378" s="2527"/>
      <c r="Z378" s="2527"/>
      <c r="AA378" s="2527"/>
      <c r="AB378" s="2527"/>
      <c r="AC378" s="2527"/>
      <c r="AD378" s="2527"/>
      <c r="AE378" s="2527"/>
      <c r="AF378" s="2527"/>
      <c r="AG378" s="2527"/>
      <c r="AH378" s="2527"/>
      <c r="AI378" s="2527"/>
      <c r="AJ378" s="2527"/>
      <c r="AK378" s="601"/>
      <c r="AL378" s="601"/>
      <c r="AM378" s="601"/>
      <c r="AN378" s="595"/>
      <c r="AO378" s="693"/>
      <c r="AP378" s="694">
        <f>IF(C436="Yes",3,0)</f>
        <v>0</v>
      </c>
    </row>
    <row r="379" spans="1:46" s="549" customFormat="1" ht="12.4" customHeight="1">
      <c r="A379" s="601"/>
      <c r="B379" s="609"/>
      <c r="C379" s="2527"/>
      <c r="D379" s="2527"/>
      <c r="E379" s="2527"/>
      <c r="F379" s="2527"/>
      <c r="G379" s="2527"/>
      <c r="H379" s="2527"/>
      <c r="I379" s="2527"/>
      <c r="J379" s="2527"/>
      <c r="K379" s="2527"/>
      <c r="L379" s="2527"/>
      <c r="M379" s="2527"/>
      <c r="N379" s="2527"/>
      <c r="O379" s="2527"/>
      <c r="P379" s="2527"/>
      <c r="Q379" s="2527"/>
      <c r="R379" s="2527"/>
      <c r="S379" s="2527"/>
      <c r="T379" s="2527"/>
      <c r="U379" s="2527"/>
      <c r="V379" s="2527"/>
      <c r="W379" s="2527"/>
      <c r="X379" s="2527"/>
      <c r="Y379" s="2527"/>
      <c r="Z379" s="2527"/>
      <c r="AA379" s="2527"/>
      <c r="AB379" s="2527"/>
      <c r="AC379" s="2527"/>
      <c r="AD379" s="2527"/>
      <c r="AE379" s="2527"/>
      <c r="AF379" s="2527"/>
      <c r="AG379" s="2527"/>
      <c r="AH379" s="2527"/>
      <c r="AI379" s="2527"/>
      <c r="AJ379" s="2527"/>
      <c r="AK379" s="601"/>
      <c r="AL379" s="601"/>
      <c r="AM379" s="601"/>
      <c r="AN379" s="595"/>
      <c r="AO379" s="695" t="s">
        <v>227</v>
      </c>
      <c r="AP379" s="696">
        <f>SUM(AP370:AP378)</f>
        <v>10</v>
      </c>
      <c r="AQ379" s="2461">
        <f>IF(AP379&gt;0,AP379,0)</f>
        <v>10</v>
      </c>
      <c r="AR379" s="2461"/>
    </row>
    <row r="380" spans="1:46" s="549" customFormat="1" ht="12.75" customHeight="1">
      <c r="A380" s="601"/>
      <c r="B380" s="609"/>
      <c r="C380" s="2527"/>
      <c r="D380" s="2527"/>
      <c r="E380" s="2527"/>
      <c r="F380" s="2527"/>
      <c r="G380" s="2527"/>
      <c r="H380" s="2527"/>
      <c r="I380" s="2527"/>
      <c r="J380" s="2527"/>
      <c r="K380" s="2527"/>
      <c r="L380" s="2527"/>
      <c r="M380" s="2527"/>
      <c r="N380" s="2527"/>
      <c r="O380" s="2527"/>
      <c r="P380" s="2527"/>
      <c r="Q380" s="2527"/>
      <c r="R380" s="2527"/>
      <c r="S380" s="2527"/>
      <c r="T380" s="2527"/>
      <c r="U380" s="2527"/>
      <c r="V380" s="2527"/>
      <c r="W380" s="2527"/>
      <c r="X380" s="2527"/>
      <c r="Y380" s="2527"/>
      <c r="Z380" s="2527"/>
      <c r="AA380" s="2527"/>
      <c r="AB380" s="2527"/>
      <c r="AC380" s="2527"/>
      <c r="AD380" s="2527"/>
      <c r="AE380" s="2527"/>
      <c r="AF380" s="2527"/>
      <c r="AG380" s="2527"/>
      <c r="AH380" s="2527"/>
      <c r="AI380" s="2527"/>
      <c r="AJ380" s="2527"/>
      <c r="AK380" s="601"/>
      <c r="AL380" s="601"/>
      <c r="AM380" s="601"/>
      <c r="AN380" s="595"/>
      <c r="AP380" s="568"/>
    </row>
    <row r="381" spans="1:46" s="549" customFormat="1" ht="12.75" customHeight="1">
      <c r="A381" s="601"/>
      <c r="B381" s="609"/>
      <c r="C381" s="688"/>
      <c r="D381" s="688"/>
      <c r="E381" s="688"/>
      <c r="F381" s="688"/>
      <c r="G381" s="688"/>
      <c r="H381" s="688"/>
      <c r="I381" s="688"/>
      <c r="J381" s="688"/>
      <c r="K381" s="688"/>
      <c r="L381" s="688"/>
      <c r="M381" s="688"/>
      <c r="N381" s="688"/>
      <c r="O381" s="688"/>
      <c r="P381" s="688"/>
      <c r="Q381" s="688"/>
      <c r="R381" s="688"/>
      <c r="S381" s="688"/>
      <c r="T381" s="688"/>
      <c r="U381" s="688"/>
      <c r="V381" s="688"/>
      <c r="W381" s="688"/>
      <c r="X381" s="688"/>
      <c r="Y381" s="688"/>
      <c r="Z381" s="688"/>
      <c r="AA381" s="688"/>
      <c r="AB381" s="688"/>
      <c r="AC381" s="688"/>
      <c r="AD381" s="688"/>
      <c r="AE381" s="688"/>
      <c r="AF381" s="688"/>
      <c r="AG381" s="688"/>
      <c r="AH381" s="688"/>
      <c r="AI381" s="688"/>
      <c r="AJ381" s="688"/>
      <c r="AK381" s="601"/>
      <c r="AL381" s="601"/>
      <c r="AM381" s="601"/>
      <c r="AN381" s="595"/>
      <c r="AO381" s="691" t="s">
        <v>455</v>
      </c>
      <c r="AP381" s="692">
        <f>IF(C443="Yes",5,0)</f>
        <v>0</v>
      </c>
    </row>
    <row r="382" spans="1:46" s="549" customFormat="1" ht="12.75" customHeight="1">
      <c r="A382" s="601"/>
      <c r="B382" s="609"/>
      <c r="C382" s="2458" t="s">
        <v>1449</v>
      </c>
      <c r="D382" s="2458"/>
      <c r="E382" s="2458"/>
      <c r="F382" s="2458"/>
      <c r="G382" s="2458"/>
      <c r="H382" s="2458"/>
      <c r="I382" s="2458"/>
      <c r="J382" s="2458"/>
      <c r="K382" s="2458"/>
      <c r="L382" s="2458"/>
      <c r="M382" s="2458"/>
      <c r="N382" s="2458"/>
      <c r="O382" s="2458"/>
      <c r="P382" s="2458"/>
      <c r="Q382" s="2458"/>
      <c r="R382" s="2458"/>
      <c r="S382" s="2458"/>
      <c r="T382" s="2458"/>
      <c r="U382" s="2458"/>
      <c r="V382" s="2458"/>
      <c r="W382" s="2458"/>
      <c r="X382" s="2458"/>
      <c r="Y382" s="2458"/>
      <c r="Z382" s="2458"/>
      <c r="AA382" s="2458"/>
      <c r="AB382" s="2458"/>
      <c r="AC382" s="2458"/>
      <c r="AD382" s="2458"/>
      <c r="AE382" s="2458"/>
      <c r="AF382" s="2458"/>
      <c r="AG382" s="2458"/>
      <c r="AH382" s="2458"/>
      <c r="AI382" s="2458"/>
      <c r="AJ382" s="2458"/>
      <c r="AK382" s="601"/>
      <c r="AL382" s="601"/>
      <c r="AM382" s="601"/>
      <c r="AN382" s="595"/>
      <c r="AO382" s="691" t="s">
        <v>456</v>
      </c>
      <c r="AP382" s="692">
        <f>IF(C455="Yes",5,0)</f>
        <v>0</v>
      </c>
    </row>
    <row r="383" spans="1:46" s="549" customFormat="1" ht="12.75" customHeight="1">
      <c r="A383" s="601"/>
      <c r="B383" s="609"/>
      <c r="C383" s="2458"/>
      <c r="D383" s="2458"/>
      <c r="E383" s="2458"/>
      <c r="F383" s="2458"/>
      <c r="G383" s="2458"/>
      <c r="H383" s="2458"/>
      <c r="I383" s="2458"/>
      <c r="J383" s="2458"/>
      <c r="K383" s="2458"/>
      <c r="L383" s="2458"/>
      <c r="M383" s="2458"/>
      <c r="N383" s="2458"/>
      <c r="O383" s="2458"/>
      <c r="P383" s="2458"/>
      <c r="Q383" s="2458"/>
      <c r="R383" s="2458"/>
      <c r="S383" s="2458"/>
      <c r="T383" s="2458"/>
      <c r="U383" s="2458"/>
      <c r="V383" s="2458"/>
      <c r="W383" s="2458"/>
      <c r="X383" s="2458"/>
      <c r="Y383" s="2458"/>
      <c r="Z383" s="2458"/>
      <c r="AA383" s="2458"/>
      <c r="AB383" s="2458"/>
      <c r="AC383" s="2458"/>
      <c r="AD383" s="2458"/>
      <c r="AE383" s="2458"/>
      <c r="AF383" s="2458"/>
      <c r="AG383" s="2458"/>
      <c r="AH383" s="2458"/>
      <c r="AI383" s="2458"/>
      <c r="AJ383" s="2458"/>
      <c r="AK383" s="601"/>
      <c r="AL383" s="601"/>
      <c r="AM383" s="601"/>
      <c r="AN383" s="595"/>
      <c r="AO383" s="691" t="s">
        <v>461</v>
      </c>
      <c r="AP383" s="692">
        <f>IF(C462="Yes",5,0)</f>
        <v>0</v>
      </c>
    </row>
    <row r="384" spans="1:46" s="549" customFormat="1" ht="68.099999999999994" customHeight="1">
      <c r="A384" s="601"/>
      <c r="B384" s="609"/>
      <c r="C384" s="2458"/>
      <c r="D384" s="2458"/>
      <c r="E384" s="2458"/>
      <c r="F384" s="2458"/>
      <c r="G384" s="2458"/>
      <c r="H384" s="2458"/>
      <c r="I384" s="2458"/>
      <c r="J384" s="2458"/>
      <c r="K384" s="2458"/>
      <c r="L384" s="2458"/>
      <c r="M384" s="2458"/>
      <c r="N384" s="2458"/>
      <c r="O384" s="2458"/>
      <c r="P384" s="2458"/>
      <c r="Q384" s="2458"/>
      <c r="R384" s="2458"/>
      <c r="S384" s="2458"/>
      <c r="T384" s="2458"/>
      <c r="U384" s="2458"/>
      <c r="V384" s="2458"/>
      <c r="W384" s="2458"/>
      <c r="X384" s="2458"/>
      <c r="Y384" s="2458"/>
      <c r="Z384" s="2458"/>
      <c r="AA384" s="2458"/>
      <c r="AB384" s="2458"/>
      <c r="AC384" s="2458"/>
      <c r="AD384" s="2458"/>
      <c r="AE384" s="2458"/>
      <c r="AF384" s="2458"/>
      <c r="AG384" s="2458"/>
      <c r="AH384" s="2458"/>
      <c r="AI384" s="2458"/>
      <c r="AJ384" s="2458"/>
      <c r="AK384" s="601"/>
      <c r="AL384" s="601"/>
      <c r="AM384" s="601"/>
      <c r="AN384" s="595"/>
      <c r="AO384" s="691" t="s">
        <v>646</v>
      </c>
      <c r="AP384" s="697">
        <f>IF(C466="Yes",5,0)</f>
        <v>0</v>
      </c>
    </row>
    <row r="385" spans="1:81" s="549" customFormat="1" ht="12.4" customHeight="1">
      <c r="B385" s="609"/>
      <c r="C385" s="549" t="s">
        <v>1450</v>
      </c>
      <c r="AF385" s="601"/>
      <c r="AG385" s="601"/>
      <c r="AH385" s="601"/>
      <c r="AI385" s="601"/>
      <c r="AJ385" s="601"/>
      <c r="AK385" s="601"/>
      <c r="AL385" s="601"/>
      <c r="AM385" s="601"/>
      <c r="AN385" s="595"/>
      <c r="AO385" s="691" t="s">
        <v>362</v>
      </c>
      <c r="AP385" s="692">
        <f>IF(C470="Yes",5,0)</f>
        <v>0</v>
      </c>
    </row>
    <row r="386" spans="1:81" s="549" customFormat="1" ht="12.75" customHeight="1">
      <c r="A386" s="601"/>
      <c r="B386" s="609"/>
      <c r="C386" s="698" t="s">
        <v>2164</v>
      </c>
      <c r="D386" s="699"/>
      <c r="E386" s="699"/>
      <c r="F386" s="699"/>
      <c r="G386" s="699"/>
      <c r="H386" s="699"/>
      <c r="I386" s="699"/>
      <c r="J386" s="699"/>
      <c r="K386" s="699"/>
      <c r="L386" s="699"/>
      <c r="M386" s="663"/>
      <c r="N386" s="663"/>
      <c r="O386" s="700"/>
      <c r="P386" s="699"/>
      <c r="Q386" s="699"/>
      <c r="R386" s="663"/>
      <c r="S386" s="663"/>
      <c r="T386" s="699"/>
      <c r="U386" s="2459">
        <f>Application!DU810-U387</f>
        <v>55</v>
      </c>
      <c r="V386" s="2459"/>
      <c r="W386" s="2459"/>
      <c r="X386" s="699"/>
      <c r="Y386" s="699"/>
      <c r="Z386" s="699"/>
      <c r="AA386" s="701"/>
      <c r="AB386" s="702"/>
      <c r="AC386" s="702"/>
      <c r="AD386" s="702"/>
      <c r="AE386" s="601"/>
      <c r="AF386" s="601"/>
      <c r="AG386" s="601"/>
      <c r="AH386" s="601"/>
      <c r="AI386" s="601"/>
      <c r="AJ386" s="601"/>
      <c r="AK386" s="601"/>
      <c r="AL386" s="601"/>
      <c r="AM386" s="601"/>
      <c r="AN386" s="595"/>
      <c r="AO386" s="691" t="s">
        <v>363</v>
      </c>
      <c r="AP386" s="692">
        <f>IF(C479="Yes",5,0)</f>
        <v>0</v>
      </c>
    </row>
    <row r="387" spans="1:81" s="549" customFormat="1" ht="12.75" customHeight="1">
      <c r="A387" s="601"/>
      <c r="B387" s="609"/>
      <c r="C387" s="703" t="s">
        <v>2165</v>
      </c>
      <c r="D387" s="690"/>
      <c r="E387" s="690"/>
      <c r="F387" s="690"/>
      <c r="G387" s="690"/>
      <c r="H387" s="690"/>
      <c r="I387" s="690"/>
      <c r="J387" s="690"/>
      <c r="K387" s="690"/>
      <c r="L387" s="690"/>
      <c r="M387" s="690"/>
      <c r="N387" s="690"/>
      <c r="O387" s="690"/>
      <c r="P387" s="690"/>
      <c r="Q387" s="690"/>
      <c r="R387" s="690"/>
      <c r="S387" s="690"/>
      <c r="T387" s="690"/>
      <c r="U387" s="2460">
        <f>IF(Application!D211="SRO",Application!DU763,Application!AG764)</f>
        <v>0</v>
      </c>
      <c r="V387" s="2460"/>
      <c r="W387" s="2460"/>
      <c r="X387" s="690"/>
      <c r="Y387" s="690"/>
      <c r="Z387" s="690"/>
      <c r="AA387" s="704"/>
      <c r="AC387" s="705"/>
      <c r="AD387" s="705"/>
      <c r="AE387" s="601"/>
      <c r="AF387" s="601"/>
      <c r="AG387" s="601"/>
      <c r="AH387" s="601"/>
      <c r="AI387" s="601"/>
      <c r="AJ387" s="601"/>
      <c r="AK387" s="601"/>
      <c r="AL387" s="601"/>
      <c r="AM387" s="601"/>
      <c r="AN387" s="595"/>
      <c r="AO387" s="693"/>
      <c r="AP387" s="694"/>
    </row>
    <row r="388" spans="1:81" s="549" customFormat="1" ht="12.75" customHeight="1">
      <c r="A388" s="601"/>
      <c r="B388" s="609"/>
      <c r="C388" s="594"/>
      <c r="U388" s="783"/>
      <c r="V388" s="783"/>
      <c r="W388" s="783"/>
      <c r="AC388" s="705"/>
      <c r="AD388" s="705"/>
      <c r="AE388" s="601"/>
      <c r="AF388" s="601"/>
      <c r="AG388" s="601"/>
      <c r="AH388" s="601"/>
      <c r="AI388" s="601"/>
      <c r="AJ388" s="601"/>
      <c r="AK388" s="601"/>
      <c r="AL388" s="601"/>
      <c r="AM388" s="601"/>
      <c r="AN388" s="595"/>
      <c r="AO388" s="706" t="s">
        <v>227</v>
      </c>
      <c r="AP388" s="707">
        <f>SUM(AP381:AP386)</f>
        <v>0</v>
      </c>
      <c r="AQ388" s="2461">
        <f>IF(AP388&gt;0,AP388,0)</f>
        <v>0</v>
      </c>
      <c r="AR388" s="2461"/>
    </row>
    <row r="389" spans="1:81" s="549" customFormat="1" ht="12.75" customHeight="1">
      <c r="A389" s="601"/>
      <c r="B389" s="14"/>
      <c r="C389" s="708" t="s">
        <v>2162</v>
      </c>
      <c r="D389" s="601"/>
      <c r="E389" s="601"/>
      <c r="F389" s="601"/>
      <c r="G389" s="601"/>
      <c r="H389" s="601"/>
      <c r="I389" s="601"/>
      <c r="J389" s="601"/>
      <c r="K389" s="601"/>
      <c r="L389" s="601"/>
      <c r="M389" s="601"/>
      <c r="N389" s="601"/>
      <c r="O389" s="601"/>
      <c r="P389" s="601"/>
      <c r="Q389" s="601"/>
      <c r="R389" s="601"/>
      <c r="S389" s="601"/>
      <c r="T389" s="601"/>
      <c r="U389" s="601"/>
      <c r="V389" s="601"/>
      <c r="W389" s="601"/>
      <c r="X389" s="601"/>
      <c r="Y389" s="601"/>
      <c r="Z389" s="601"/>
      <c r="AA389" s="601"/>
      <c r="AB389" s="601"/>
      <c r="AC389" s="601"/>
      <c r="AD389" s="601"/>
      <c r="AE389" s="601"/>
      <c r="AF389" s="601"/>
      <c r="AG389" s="601"/>
      <c r="AH389" s="601"/>
      <c r="AI389" s="601"/>
      <c r="AJ389" s="601"/>
      <c r="AK389" s="601"/>
      <c r="AL389" s="601"/>
      <c r="AM389" s="601"/>
      <c r="AN389" s="595"/>
      <c r="BS389" s="30"/>
      <c r="BT389" s="30"/>
      <c r="BU389" s="14"/>
      <c r="BV389" s="14"/>
      <c r="BW389" s="14"/>
    </row>
    <row r="390" spans="1:81" s="549" customFormat="1" ht="12.75" customHeight="1">
      <c r="A390" s="536"/>
      <c r="B390" s="14"/>
      <c r="C390" s="709"/>
      <c r="D390" s="710"/>
      <c r="E390" s="711" t="s">
        <v>1309</v>
      </c>
      <c r="F390" s="2437" t="s">
        <v>1451</v>
      </c>
      <c r="G390" s="2437"/>
      <c r="H390" s="2437"/>
      <c r="I390" s="2437"/>
      <c r="J390" s="2437"/>
      <c r="K390" s="2437"/>
      <c r="L390" s="2437"/>
      <c r="M390" s="2437"/>
      <c r="N390" s="2437"/>
      <c r="O390" s="2437"/>
      <c r="P390" s="2437"/>
      <c r="Q390" s="2437"/>
      <c r="R390" s="2437"/>
      <c r="S390" s="2437"/>
      <c r="T390" s="2437"/>
      <c r="U390" s="2437"/>
      <c r="V390" s="2437"/>
      <c r="W390" s="2437"/>
      <c r="X390" s="2437"/>
      <c r="Y390" s="2437"/>
      <c r="Z390" s="2437"/>
      <c r="AA390" s="2437"/>
      <c r="AB390" s="2437"/>
      <c r="AC390" s="2437"/>
      <c r="AD390" s="2437"/>
      <c r="AE390" s="2437"/>
      <c r="AF390" s="2437"/>
      <c r="AG390" s="712"/>
      <c r="AH390" s="712"/>
      <c r="AI390" s="712"/>
      <c r="AJ390" s="712"/>
      <c r="AK390" s="712"/>
      <c r="AL390" s="713"/>
      <c r="AM390" s="568"/>
      <c r="AN390" s="595"/>
      <c r="AP390" s="568"/>
      <c r="BS390" s="30"/>
      <c r="BT390" s="30"/>
      <c r="BU390" s="14"/>
      <c r="BV390" s="14"/>
      <c r="BW390" s="14"/>
      <c r="BX390" s="14"/>
      <c r="BY390" s="14"/>
      <c r="BZ390" s="14"/>
      <c r="CA390" s="14"/>
      <c r="CB390" s="14"/>
      <c r="CC390" s="14"/>
    </row>
    <row r="391" spans="1:81" s="549" customFormat="1" ht="12.75" customHeight="1">
      <c r="A391" s="536"/>
      <c r="B391" s="14"/>
      <c r="C391" s="714"/>
      <c r="D391" s="536"/>
      <c r="E391" s="715"/>
      <c r="F391" s="2438"/>
      <c r="G391" s="2438"/>
      <c r="H391" s="2438"/>
      <c r="I391" s="2438"/>
      <c r="J391" s="2438"/>
      <c r="K391" s="2438"/>
      <c r="L391" s="2438"/>
      <c r="M391" s="2438"/>
      <c r="N391" s="2438"/>
      <c r="O391" s="2438"/>
      <c r="P391" s="2438"/>
      <c r="Q391" s="2438"/>
      <c r="R391" s="2438"/>
      <c r="S391" s="2438"/>
      <c r="T391" s="2438"/>
      <c r="U391" s="2438"/>
      <c r="V391" s="2438"/>
      <c r="W391" s="2438"/>
      <c r="X391" s="2438"/>
      <c r="Y391" s="2438"/>
      <c r="Z391" s="2438"/>
      <c r="AA391" s="2438"/>
      <c r="AB391" s="2438"/>
      <c r="AC391" s="2438"/>
      <c r="AD391" s="2438"/>
      <c r="AE391" s="2438"/>
      <c r="AF391" s="2438"/>
      <c r="AG391" s="539"/>
      <c r="AH391" s="539"/>
      <c r="AI391" s="539"/>
      <c r="AJ391" s="539"/>
      <c r="AK391" s="539"/>
      <c r="AL391" s="716"/>
      <c r="AM391" s="568"/>
      <c r="AN391" s="595"/>
      <c r="AP391" s="568"/>
      <c r="BS391" s="30"/>
      <c r="BT391" s="30"/>
      <c r="BU391" s="14"/>
      <c r="BV391" s="14"/>
      <c r="BW391" s="14"/>
      <c r="BX391" s="14"/>
      <c r="BY391" s="14"/>
      <c r="BZ391" s="14"/>
      <c r="CA391" s="14"/>
      <c r="CB391" s="14"/>
      <c r="CC391" s="14"/>
    </row>
    <row r="392" spans="1:81" s="549" customFormat="1" ht="12.75" customHeight="1">
      <c r="A392" s="536"/>
      <c r="B392" s="14"/>
      <c r="C392" s="714"/>
      <c r="D392" s="536"/>
      <c r="E392" s="715"/>
      <c r="F392" s="2438"/>
      <c r="G392" s="2438"/>
      <c r="H392" s="2438"/>
      <c r="I392" s="2438"/>
      <c r="J392" s="2438"/>
      <c r="K392" s="2438"/>
      <c r="L392" s="2438"/>
      <c r="M392" s="2438"/>
      <c r="N392" s="2438"/>
      <c r="O392" s="2438"/>
      <c r="P392" s="2438"/>
      <c r="Q392" s="2438"/>
      <c r="R392" s="2438"/>
      <c r="S392" s="2438"/>
      <c r="T392" s="2438"/>
      <c r="U392" s="2438"/>
      <c r="V392" s="2438"/>
      <c r="W392" s="2438"/>
      <c r="X392" s="2438"/>
      <c r="Y392" s="2438"/>
      <c r="Z392" s="2438"/>
      <c r="AA392" s="2438"/>
      <c r="AB392" s="2438"/>
      <c r="AC392" s="2438"/>
      <c r="AD392" s="2438"/>
      <c r="AE392" s="2438"/>
      <c r="AF392" s="2438"/>
      <c r="AG392" s="539"/>
      <c r="AH392" s="539"/>
      <c r="AI392" s="539"/>
      <c r="AJ392" s="539"/>
      <c r="AK392" s="539"/>
      <c r="AL392" s="716"/>
      <c r="AM392" s="568"/>
      <c r="AN392" s="595"/>
      <c r="BS392" s="30"/>
      <c r="BT392" s="30"/>
      <c r="BU392" s="14"/>
      <c r="BV392" s="14"/>
      <c r="BW392" s="14"/>
      <c r="BX392" s="14"/>
      <c r="BY392" s="14"/>
      <c r="BZ392" s="14"/>
      <c r="CA392" s="14"/>
      <c r="CB392" s="14"/>
      <c r="CC392" s="14"/>
    </row>
    <row r="393" spans="1:81" s="549" customFormat="1" ht="12.75" customHeight="1">
      <c r="A393" s="536"/>
      <c r="B393" s="14"/>
      <c r="C393" s="714"/>
      <c r="D393" s="536"/>
      <c r="E393" s="715"/>
      <c r="F393" s="2438"/>
      <c r="G393" s="2438"/>
      <c r="H393" s="2438"/>
      <c r="I393" s="2438"/>
      <c r="J393" s="2438"/>
      <c r="K393" s="2438"/>
      <c r="L393" s="2438"/>
      <c r="M393" s="2438"/>
      <c r="N393" s="2438"/>
      <c r="O393" s="2438"/>
      <c r="P393" s="2438"/>
      <c r="Q393" s="2438"/>
      <c r="R393" s="2438"/>
      <c r="S393" s="2438"/>
      <c r="T393" s="2438"/>
      <c r="U393" s="2438"/>
      <c r="V393" s="2438"/>
      <c r="W393" s="2438"/>
      <c r="X393" s="2438"/>
      <c r="Y393" s="2438"/>
      <c r="Z393" s="2438"/>
      <c r="AA393" s="2438"/>
      <c r="AB393" s="2438"/>
      <c r="AC393" s="2438"/>
      <c r="AD393" s="2438"/>
      <c r="AE393" s="2438"/>
      <c r="AF393" s="2438"/>
      <c r="AG393" s="539"/>
      <c r="AH393" s="539"/>
      <c r="AI393" s="539"/>
      <c r="AJ393" s="539"/>
      <c r="AK393" s="539"/>
      <c r="AL393" s="716"/>
      <c r="AM393" s="568"/>
      <c r="AN393" s="595"/>
      <c r="BS393" s="30"/>
      <c r="BT393" s="30"/>
      <c r="BU393" s="14"/>
      <c r="BV393" s="14"/>
      <c r="BW393" s="14"/>
      <c r="BX393" s="14"/>
      <c r="BY393" s="14"/>
      <c r="BZ393" s="14"/>
      <c r="CA393" s="14"/>
      <c r="CB393" s="14"/>
      <c r="CC393" s="14"/>
    </row>
    <row r="394" spans="1:81" s="549" customFormat="1" ht="12.75" customHeight="1">
      <c r="A394" s="536"/>
      <c r="B394" s="14"/>
      <c r="C394" s="2462" t="s">
        <v>591</v>
      </c>
      <c r="D394" s="2409"/>
      <c r="E394" s="715"/>
      <c r="F394" s="717" t="s">
        <v>1452</v>
      </c>
      <c r="G394" s="601"/>
      <c r="H394" s="601"/>
      <c r="I394" s="601"/>
      <c r="J394" s="601"/>
      <c r="K394" s="601"/>
      <c r="L394" s="601"/>
      <c r="M394" s="601"/>
      <c r="N394" s="601"/>
      <c r="O394" s="601"/>
      <c r="P394" s="601"/>
      <c r="Q394" s="601"/>
      <c r="R394" s="601"/>
      <c r="S394" s="601"/>
      <c r="T394" s="601"/>
      <c r="U394" s="601"/>
      <c r="V394" s="601"/>
      <c r="W394" s="601"/>
      <c r="X394" s="601"/>
      <c r="Y394" s="601"/>
      <c r="Z394" s="601"/>
      <c r="AA394" s="601"/>
      <c r="AB394" s="601"/>
      <c r="AC394" s="601"/>
      <c r="AD394" s="601"/>
      <c r="AF394" s="2463" t="s">
        <v>1453</v>
      </c>
      <c r="AG394" s="2463"/>
      <c r="AH394" s="2463"/>
      <c r="AI394" s="2463"/>
      <c r="AJ394" s="2463"/>
      <c r="AK394" s="2463"/>
      <c r="AL394" s="2464"/>
      <c r="AM394" s="718"/>
      <c r="BS394" s="30"/>
      <c r="BT394" s="30"/>
      <c r="BU394" s="14"/>
      <c r="BV394" s="14"/>
      <c r="BW394" s="14"/>
      <c r="BX394" s="14"/>
      <c r="BY394" s="14"/>
      <c r="BZ394" s="14"/>
      <c r="CA394" s="14"/>
      <c r="CB394" s="14"/>
      <c r="CC394" s="14"/>
    </row>
    <row r="395" spans="1:81" s="549" customFormat="1" ht="12.75" customHeight="1">
      <c r="A395" s="536"/>
      <c r="B395" s="14"/>
      <c r="C395" s="752"/>
      <c r="D395" s="719"/>
      <c r="E395" s="720"/>
      <c r="F395" s="721"/>
      <c r="G395" s="722"/>
      <c r="H395" s="722"/>
      <c r="I395" s="722"/>
      <c r="J395" s="722"/>
      <c r="K395" s="722"/>
      <c r="L395" s="722"/>
      <c r="M395" s="722"/>
      <c r="N395" s="722"/>
      <c r="O395" s="722"/>
      <c r="P395" s="722"/>
      <c r="Q395" s="722"/>
      <c r="R395" s="722"/>
      <c r="S395" s="722"/>
      <c r="T395" s="722"/>
      <c r="U395" s="722"/>
      <c r="V395" s="722"/>
      <c r="W395" s="722"/>
      <c r="X395" s="722"/>
      <c r="Y395" s="722"/>
      <c r="Z395" s="722"/>
      <c r="AA395" s="722"/>
      <c r="AB395" s="722"/>
      <c r="AC395" s="722"/>
      <c r="AD395" s="722"/>
      <c r="AE395" s="723"/>
      <c r="AF395" s="723"/>
      <c r="AG395" s="723"/>
      <c r="AH395" s="723"/>
      <c r="AI395" s="723"/>
      <c r="AJ395" s="723"/>
      <c r="AK395" s="723"/>
      <c r="AL395" s="753"/>
      <c r="AM395" s="725"/>
      <c r="AN395" s="595"/>
      <c r="CC395" s="14"/>
    </row>
    <row r="396" spans="1:81" s="549" customFormat="1" ht="12.75" customHeight="1">
      <c r="A396" s="536"/>
      <c r="B396" s="14"/>
      <c r="C396" s="726"/>
      <c r="D396" s="726"/>
      <c r="E396" s="715"/>
      <c r="F396" s="672"/>
      <c r="G396" s="672"/>
      <c r="H396" s="672"/>
      <c r="I396" s="672"/>
      <c r="J396" s="672"/>
      <c r="K396" s="672"/>
      <c r="L396" s="672"/>
      <c r="M396" s="672"/>
      <c r="N396" s="672"/>
      <c r="O396" s="672"/>
      <c r="P396" s="672"/>
      <c r="Q396" s="672"/>
      <c r="R396" s="672"/>
      <c r="S396" s="672"/>
      <c r="T396" s="672"/>
      <c r="U396" s="672"/>
      <c r="V396" s="672"/>
      <c r="W396" s="672"/>
      <c r="X396" s="672"/>
      <c r="Y396" s="672"/>
      <c r="Z396" s="672"/>
      <c r="AA396" s="672"/>
      <c r="AB396" s="672"/>
      <c r="AC396" s="672"/>
      <c r="AD396" s="672"/>
      <c r="AE396" s="589"/>
      <c r="AF396" s="589"/>
      <c r="AG396" s="589"/>
      <c r="AH396" s="589"/>
      <c r="AI396" s="589"/>
      <c r="AJ396" s="589"/>
      <c r="AK396" s="589"/>
      <c r="AL396" s="589"/>
      <c r="AM396" s="568"/>
      <c r="AN396" s="595"/>
      <c r="BS396" s="30"/>
      <c r="BT396" s="30"/>
      <c r="BU396" s="14"/>
      <c r="BV396" s="14"/>
      <c r="BW396" s="14"/>
      <c r="BX396" s="14"/>
      <c r="BY396" s="14"/>
      <c r="BZ396" s="14"/>
      <c r="CA396" s="14"/>
      <c r="CB396" s="14"/>
      <c r="CC396" s="14"/>
    </row>
    <row r="397" spans="1:81" s="549" customFormat="1" ht="12.75" customHeight="1">
      <c r="A397" s="536"/>
      <c r="B397" s="14"/>
      <c r="C397" s="709"/>
      <c r="D397" s="710"/>
      <c r="E397" s="711" t="s">
        <v>1311</v>
      </c>
      <c r="F397" s="2437" t="s">
        <v>1454</v>
      </c>
      <c r="G397" s="2437"/>
      <c r="H397" s="2437"/>
      <c r="I397" s="2437"/>
      <c r="J397" s="2437"/>
      <c r="K397" s="2437"/>
      <c r="L397" s="2437"/>
      <c r="M397" s="2437"/>
      <c r="N397" s="2437"/>
      <c r="O397" s="2437"/>
      <c r="P397" s="2437"/>
      <c r="Q397" s="2437"/>
      <c r="R397" s="2437"/>
      <c r="S397" s="2437"/>
      <c r="T397" s="2437"/>
      <c r="U397" s="2437"/>
      <c r="V397" s="2437"/>
      <c r="W397" s="2437"/>
      <c r="X397" s="2437"/>
      <c r="Y397" s="2437"/>
      <c r="Z397" s="2437"/>
      <c r="AA397" s="2437"/>
      <c r="AB397" s="2437"/>
      <c r="AC397" s="2437"/>
      <c r="AD397" s="2437"/>
      <c r="AE397" s="2437"/>
      <c r="AF397" s="2437"/>
      <c r="AG397" s="712"/>
      <c r="AH397" s="712"/>
      <c r="AI397" s="712"/>
      <c r="AJ397" s="712"/>
      <c r="AK397" s="712"/>
      <c r="AL397" s="713"/>
      <c r="AM397" s="568"/>
      <c r="AN397" s="595"/>
      <c r="BS397" s="30"/>
      <c r="BT397" s="30"/>
      <c r="BU397" s="14"/>
      <c r="BV397" s="14"/>
      <c r="BW397" s="14"/>
      <c r="BX397" s="14"/>
      <c r="BY397" s="14"/>
      <c r="BZ397" s="14"/>
      <c r="CA397" s="14"/>
      <c r="CB397" s="14"/>
      <c r="CC397" s="14"/>
    </row>
    <row r="398" spans="1:81" s="549" customFormat="1" ht="12.75" customHeight="1">
      <c r="A398" s="536"/>
      <c r="B398" s="14"/>
      <c r="C398" s="727"/>
      <c r="D398" s="14"/>
      <c r="E398" s="687"/>
      <c r="F398" s="2438"/>
      <c r="G398" s="2438"/>
      <c r="H398" s="2438"/>
      <c r="I398" s="2438"/>
      <c r="J398" s="2438"/>
      <c r="K398" s="2438"/>
      <c r="L398" s="2438"/>
      <c r="M398" s="2438"/>
      <c r="N398" s="2438"/>
      <c r="O398" s="2438"/>
      <c r="P398" s="2438"/>
      <c r="Q398" s="2438"/>
      <c r="R398" s="2438"/>
      <c r="S398" s="2438"/>
      <c r="T398" s="2438"/>
      <c r="U398" s="2438"/>
      <c r="V398" s="2438"/>
      <c r="W398" s="2438"/>
      <c r="X398" s="2438"/>
      <c r="Y398" s="2438"/>
      <c r="Z398" s="2438"/>
      <c r="AA398" s="2438"/>
      <c r="AB398" s="2438"/>
      <c r="AC398" s="2438"/>
      <c r="AD398" s="2438"/>
      <c r="AE398" s="2438"/>
      <c r="AF398" s="2438"/>
      <c r="AG398" s="539"/>
      <c r="AH398" s="539"/>
      <c r="AI398" s="539"/>
      <c r="AJ398" s="539"/>
      <c r="AK398" s="539"/>
      <c r="AL398" s="716"/>
      <c r="AM398" s="568"/>
      <c r="AN398" s="595"/>
      <c r="BS398" s="30"/>
      <c r="BT398" s="30"/>
      <c r="BU398" s="14"/>
      <c r="BV398" s="14"/>
      <c r="BW398" s="14"/>
      <c r="BX398" s="14"/>
      <c r="BY398" s="14"/>
      <c r="BZ398" s="14"/>
      <c r="CA398" s="14"/>
      <c r="CB398" s="14"/>
      <c r="CC398" s="14"/>
    </row>
    <row r="399" spans="1:81" s="549" customFormat="1" ht="12.75" customHeight="1">
      <c r="A399" s="536"/>
      <c r="B399" s="14"/>
      <c r="C399" s="727"/>
      <c r="D399" s="14"/>
      <c r="E399" s="687"/>
      <c r="F399" s="2438"/>
      <c r="G399" s="2438"/>
      <c r="H399" s="2438"/>
      <c r="I399" s="2438"/>
      <c r="J399" s="2438"/>
      <c r="K399" s="2438"/>
      <c r="L399" s="2438"/>
      <c r="M399" s="2438"/>
      <c r="N399" s="2438"/>
      <c r="O399" s="2438"/>
      <c r="P399" s="2438"/>
      <c r="Q399" s="2438"/>
      <c r="R399" s="2438"/>
      <c r="S399" s="2438"/>
      <c r="T399" s="2438"/>
      <c r="U399" s="2438"/>
      <c r="V399" s="2438"/>
      <c r="W399" s="2438"/>
      <c r="X399" s="2438"/>
      <c r="Y399" s="2438"/>
      <c r="Z399" s="2438"/>
      <c r="AA399" s="2438"/>
      <c r="AB399" s="2438"/>
      <c r="AC399" s="2438"/>
      <c r="AD399" s="2438"/>
      <c r="AE399" s="2438"/>
      <c r="AF399" s="2438"/>
      <c r="AG399" s="539"/>
      <c r="AH399" s="539"/>
      <c r="AI399" s="539"/>
      <c r="AJ399" s="539"/>
      <c r="AK399" s="539"/>
      <c r="AL399" s="716"/>
      <c r="AM399" s="568"/>
      <c r="AN399" s="595"/>
      <c r="BS399" s="30"/>
      <c r="BT399" s="30"/>
      <c r="BU399" s="14"/>
      <c r="BV399" s="14"/>
      <c r="BW399" s="14"/>
      <c r="BX399" s="14"/>
      <c r="BY399" s="14"/>
      <c r="BZ399" s="14"/>
      <c r="CA399" s="14"/>
      <c r="CB399" s="14"/>
      <c r="CC399" s="14"/>
    </row>
    <row r="400" spans="1:81" s="549" customFormat="1" ht="12.75" customHeight="1">
      <c r="A400" s="536"/>
      <c r="B400" s="14"/>
      <c r="C400" s="727"/>
      <c r="D400" s="14"/>
      <c r="E400" s="687"/>
      <c r="F400" s="2438"/>
      <c r="G400" s="2438"/>
      <c r="H400" s="2438"/>
      <c r="I400" s="2438"/>
      <c r="J400" s="2438"/>
      <c r="K400" s="2438"/>
      <c r="L400" s="2438"/>
      <c r="M400" s="2438"/>
      <c r="N400" s="2438"/>
      <c r="O400" s="2438"/>
      <c r="P400" s="2438"/>
      <c r="Q400" s="2438"/>
      <c r="R400" s="2438"/>
      <c r="S400" s="2438"/>
      <c r="T400" s="2438"/>
      <c r="U400" s="2438"/>
      <c r="V400" s="2438"/>
      <c r="W400" s="2438"/>
      <c r="X400" s="2438"/>
      <c r="Y400" s="2438"/>
      <c r="Z400" s="2438"/>
      <c r="AA400" s="2438"/>
      <c r="AB400" s="2438"/>
      <c r="AC400" s="2438"/>
      <c r="AD400" s="2438"/>
      <c r="AE400" s="2438"/>
      <c r="AF400" s="2438"/>
      <c r="AG400" s="539"/>
      <c r="AH400" s="539"/>
      <c r="AI400" s="539"/>
      <c r="AJ400" s="539"/>
      <c r="AK400" s="539"/>
      <c r="AL400" s="716"/>
      <c r="AM400" s="568"/>
      <c r="AN400" s="595"/>
      <c r="BS400" s="30"/>
      <c r="BT400" s="30"/>
      <c r="BU400" s="14"/>
      <c r="BV400" s="14"/>
      <c r="BW400" s="14"/>
      <c r="BX400" s="14"/>
      <c r="BY400" s="14"/>
      <c r="BZ400" s="14"/>
      <c r="CA400" s="14"/>
      <c r="CB400" s="14"/>
      <c r="CC400" s="14"/>
    </row>
    <row r="401" spans="1:81" s="549" customFormat="1" ht="12.75" customHeight="1">
      <c r="A401" s="536"/>
      <c r="B401" s="14"/>
      <c r="C401" s="727"/>
      <c r="D401" s="14"/>
      <c r="E401" s="687"/>
      <c r="F401" s="2438"/>
      <c r="G401" s="2438"/>
      <c r="H401" s="2438"/>
      <c r="I401" s="2438"/>
      <c r="J401" s="2438"/>
      <c r="K401" s="2438"/>
      <c r="L401" s="2438"/>
      <c r="M401" s="2438"/>
      <c r="N401" s="2438"/>
      <c r="O401" s="2438"/>
      <c r="P401" s="2438"/>
      <c r="Q401" s="2438"/>
      <c r="R401" s="2438"/>
      <c r="S401" s="2438"/>
      <c r="T401" s="2438"/>
      <c r="U401" s="2438"/>
      <c r="V401" s="2438"/>
      <c r="W401" s="2438"/>
      <c r="X401" s="2438"/>
      <c r="Y401" s="2438"/>
      <c r="Z401" s="2438"/>
      <c r="AA401" s="2438"/>
      <c r="AB401" s="2438"/>
      <c r="AC401" s="2438"/>
      <c r="AD401" s="2438"/>
      <c r="AE401" s="2438"/>
      <c r="AF401" s="2438"/>
      <c r="AL401" s="728"/>
      <c r="AN401" s="595"/>
      <c r="BS401" s="30"/>
      <c r="BT401" s="30"/>
      <c r="BU401" s="14"/>
      <c r="BV401" s="14"/>
      <c r="BW401" s="14"/>
      <c r="BX401" s="14"/>
      <c r="BY401" s="14"/>
      <c r="BZ401" s="14"/>
      <c r="CA401" s="14"/>
      <c r="CB401" s="14"/>
      <c r="CC401" s="14"/>
    </row>
    <row r="402" spans="1:81" s="549" customFormat="1" ht="12.75" customHeight="1">
      <c r="A402" s="536"/>
      <c r="B402" s="14"/>
      <c r="C402" s="2462" t="s">
        <v>591</v>
      </c>
      <c r="D402" s="2409"/>
      <c r="E402" s="687"/>
      <c r="F402" s="717" t="s">
        <v>1455</v>
      </c>
      <c r="G402" s="601"/>
      <c r="H402" s="601"/>
      <c r="I402" s="601"/>
      <c r="J402" s="601"/>
      <c r="K402" s="601"/>
      <c r="L402" s="601"/>
      <c r="M402" s="601"/>
      <c r="N402" s="601"/>
      <c r="O402" s="601"/>
      <c r="P402" s="601"/>
      <c r="Q402" s="601"/>
      <c r="R402" s="601"/>
      <c r="S402" s="601"/>
      <c r="T402" s="601"/>
      <c r="U402" s="601"/>
      <c r="V402" s="601"/>
      <c r="W402" s="601"/>
      <c r="X402" s="601"/>
      <c r="Y402" s="601"/>
      <c r="Z402" s="601"/>
      <c r="AA402" s="601"/>
      <c r="AB402" s="601"/>
      <c r="AC402" s="601"/>
      <c r="AD402" s="601"/>
      <c r="AF402" s="2463" t="s">
        <v>1453</v>
      </c>
      <c r="AG402" s="2463"/>
      <c r="AH402" s="2463"/>
      <c r="AI402" s="2463"/>
      <c r="AJ402" s="2463"/>
      <c r="AK402" s="2463"/>
      <c r="AL402" s="2464"/>
      <c r="AM402" s="725"/>
      <c r="AN402" s="595"/>
      <c r="BS402" s="30"/>
      <c r="BT402" s="30"/>
      <c r="BU402" s="14"/>
      <c r="BV402" s="14"/>
      <c r="BW402" s="14"/>
      <c r="BX402" s="14"/>
      <c r="BY402" s="14"/>
      <c r="BZ402" s="14"/>
      <c r="CA402" s="14"/>
      <c r="CB402" s="14"/>
      <c r="CC402" s="14"/>
    </row>
    <row r="403" spans="1:81" s="549" customFormat="1" ht="12.75" customHeight="1">
      <c r="A403" s="536"/>
      <c r="B403" s="14"/>
      <c r="C403" s="736"/>
      <c r="D403" s="729"/>
      <c r="E403" s="730"/>
      <c r="F403" s="731"/>
      <c r="G403" s="732"/>
      <c r="H403" s="732"/>
      <c r="I403" s="732"/>
      <c r="J403" s="732"/>
      <c r="K403" s="732"/>
      <c r="L403" s="732"/>
      <c r="M403" s="732"/>
      <c r="N403" s="732"/>
      <c r="O403" s="732"/>
      <c r="P403" s="732"/>
      <c r="Q403" s="732"/>
      <c r="R403" s="732"/>
      <c r="S403" s="732"/>
      <c r="T403" s="732"/>
      <c r="U403" s="732"/>
      <c r="V403" s="732"/>
      <c r="W403" s="732"/>
      <c r="X403" s="732"/>
      <c r="Y403" s="732"/>
      <c r="Z403" s="732"/>
      <c r="AA403" s="732"/>
      <c r="AB403" s="732"/>
      <c r="AC403" s="732"/>
      <c r="AD403" s="732"/>
      <c r="AE403" s="733"/>
      <c r="AF403" s="581"/>
      <c r="AG403" s="733"/>
      <c r="AH403" s="723"/>
      <c r="AI403" s="723"/>
      <c r="AJ403" s="723"/>
      <c r="AK403" s="723"/>
      <c r="AL403" s="738"/>
      <c r="AM403" s="725"/>
      <c r="AN403" s="595"/>
      <c r="BS403" s="30"/>
      <c r="BT403" s="30"/>
      <c r="BU403" s="14"/>
      <c r="BV403" s="14"/>
      <c r="BW403" s="14"/>
      <c r="BX403" s="14"/>
      <c r="BY403" s="14"/>
      <c r="BZ403" s="14"/>
      <c r="CA403" s="14"/>
      <c r="CB403" s="14"/>
      <c r="CC403" s="14"/>
    </row>
    <row r="404" spans="1:81" s="549" customFormat="1" ht="12.75" customHeight="1">
      <c r="A404" s="536"/>
      <c r="B404" s="14"/>
      <c r="C404" s="14"/>
      <c r="D404" s="14"/>
      <c r="E404" s="687"/>
      <c r="F404" s="672"/>
      <c r="G404" s="672"/>
      <c r="H404" s="672"/>
      <c r="I404" s="672"/>
      <c r="J404" s="672"/>
      <c r="K404" s="672"/>
      <c r="L404" s="672"/>
      <c r="M404" s="672"/>
      <c r="N404" s="672"/>
      <c r="O404" s="672"/>
      <c r="P404" s="672"/>
      <c r="Q404" s="672"/>
      <c r="R404" s="672"/>
      <c r="S404" s="672"/>
      <c r="T404" s="672"/>
      <c r="U404" s="672"/>
      <c r="V404" s="672"/>
      <c r="W404" s="672"/>
      <c r="X404" s="672"/>
      <c r="Y404" s="672"/>
      <c r="Z404" s="672"/>
      <c r="AA404" s="672"/>
      <c r="AB404" s="672"/>
      <c r="AC404" s="672"/>
      <c r="AD404" s="672"/>
      <c r="AE404" s="536"/>
      <c r="AF404" s="539"/>
      <c r="AG404" s="536"/>
      <c r="AM404" s="568"/>
      <c r="AN404" s="595"/>
      <c r="BS404" s="30"/>
      <c r="BT404" s="30"/>
      <c r="BU404" s="14"/>
      <c r="BV404" s="14"/>
      <c r="BW404" s="14"/>
      <c r="BX404" s="14"/>
      <c r="BY404" s="14"/>
      <c r="BZ404" s="14"/>
      <c r="CA404" s="14"/>
      <c r="CB404" s="14"/>
      <c r="CC404" s="14"/>
    </row>
    <row r="405" spans="1:81" s="549" customFormat="1" ht="12.75" customHeight="1">
      <c r="A405" s="536"/>
      <c r="B405" s="14"/>
      <c r="C405" s="709"/>
      <c r="D405" s="710"/>
      <c r="E405" s="711" t="s">
        <v>1314</v>
      </c>
      <c r="F405" s="2437" t="s">
        <v>1456</v>
      </c>
      <c r="G405" s="2437"/>
      <c r="H405" s="2437"/>
      <c r="I405" s="2437"/>
      <c r="J405" s="2437"/>
      <c r="K405" s="2437"/>
      <c r="L405" s="2437"/>
      <c r="M405" s="2437"/>
      <c r="N405" s="2437"/>
      <c r="O405" s="2437"/>
      <c r="P405" s="2437"/>
      <c r="Q405" s="2437"/>
      <c r="R405" s="2437"/>
      <c r="S405" s="2437"/>
      <c r="T405" s="2437"/>
      <c r="U405" s="2437"/>
      <c r="V405" s="2437"/>
      <c r="W405" s="2437"/>
      <c r="X405" s="2437"/>
      <c r="Y405" s="2437"/>
      <c r="Z405" s="2437"/>
      <c r="AA405" s="2437"/>
      <c r="AB405" s="2437"/>
      <c r="AC405" s="2437"/>
      <c r="AD405" s="2437"/>
      <c r="AE405" s="2437"/>
      <c r="AF405" s="2437"/>
      <c r="AG405" s="712"/>
      <c r="AH405" s="712"/>
      <c r="AI405" s="712"/>
      <c r="AJ405" s="712"/>
      <c r="AK405" s="712"/>
      <c r="AL405" s="713"/>
      <c r="AM405" s="568"/>
      <c r="AN405" s="595"/>
      <c r="BS405" s="568"/>
      <c r="BT405" s="568"/>
      <c r="BU405" s="568"/>
      <c r="BV405" s="568"/>
      <c r="BW405" s="568"/>
      <c r="BX405" s="568"/>
      <c r="BY405" s="568"/>
      <c r="BZ405" s="568"/>
      <c r="CA405" s="568"/>
      <c r="CB405" s="568"/>
      <c r="CC405" s="568"/>
    </row>
    <row r="406" spans="1:81" s="549" customFormat="1" ht="12.75" customHeight="1">
      <c r="A406" s="536"/>
      <c r="B406" s="14"/>
      <c r="C406" s="727"/>
      <c r="D406" s="14"/>
      <c r="E406" s="687"/>
      <c r="F406" s="2438"/>
      <c r="G406" s="2438"/>
      <c r="H406" s="2438"/>
      <c r="I406" s="2438"/>
      <c r="J406" s="2438"/>
      <c r="K406" s="2438"/>
      <c r="L406" s="2438"/>
      <c r="M406" s="2438"/>
      <c r="N406" s="2438"/>
      <c r="O406" s="2438"/>
      <c r="P406" s="2438"/>
      <c r="Q406" s="2438"/>
      <c r="R406" s="2438"/>
      <c r="S406" s="2438"/>
      <c r="T406" s="2438"/>
      <c r="U406" s="2438"/>
      <c r="V406" s="2438"/>
      <c r="W406" s="2438"/>
      <c r="X406" s="2438"/>
      <c r="Y406" s="2438"/>
      <c r="Z406" s="2438"/>
      <c r="AA406" s="2438"/>
      <c r="AB406" s="2438"/>
      <c r="AC406" s="2438"/>
      <c r="AD406" s="2438"/>
      <c r="AE406" s="2438"/>
      <c r="AF406" s="2438"/>
      <c r="AG406" s="539"/>
      <c r="AH406" s="539"/>
      <c r="AI406" s="539"/>
      <c r="AJ406" s="539"/>
      <c r="AK406" s="539"/>
      <c r="AL406" s="716"/>
      <c r="AM406" s="568"/>
      <c r="AN406" s="595"/>
      <c r="BS406" s="568"/>
      <c r="BT406" s="568"/>
      <c r="BU406" s="568"/>
      <c r="BV406" s="568"/>
      <c r="BW406" s="568"/>
      <c r="BX406" s="568"/>
      <c r="BY406" s="568"/>
      <c r="BZ406" s="568"/>
      <c r="CA406" s="568"/>
      <c r="CB406" s="568"/>
      <c r="CC406" s="568"/>
    </row>
    <row r="407" spans="1:81" s="549" customFormat="1" ht="12.75" customHeight="1">
      <c r="A407" s="536"/>
      <c r="B407" s="14"/>
      <c r="C407" s="727"/>
      <c r="D407" s="14"/>
      <c r="E407" s="687"/>
      <c r="F407" s="2438"/>
      <c r="G407" s="2438"/>
      <c r="H407" s="2438"/>
      <c r="I407" s="2438"/>
      <c r="J407" s="2438"/>
      <c r="K407" s="2438"/>
      <c r="L407" s="2438"/>
      <c r="M407" s="2438"/>
      <c r="N407" s="2438"/>
      <c r="O407" s="2438"/>
      <c r="P407" s="2438"/>
      <c r="Q407" s="2438"/>
      <c r="R407" s="2438"/>
      <c r="S407" s="2438"/>
      <c r="T407" s="2438"/>
      <c r="U407" s="2438"/>
      <c r="V407" s="2438"/>
      <c r="W407" s="2438"/>
      <c r="X407" s="2438"/>
      <c r="Y407" s="2438"/>
      <c r="Z407" s="2438"/>
      <c r="AA407" s="2438"/>
      <c r="AB407" s="2438"/>
      <c r="AC407" s="2438"/>
      <c r="AD407" s="2438"/>
      <c r="AE407" s="2438"/>
      <c r="AF407" s="2438"/>
      <c r="AG407" s="539"/>
      <c r="AH407" s="539"/>
      <c r="AI407" s="539"/>
      <c r="AJ407" s="539"/>
      <c r="AK407" s="539"/>
      <c r="AL407" s="716"/>
      <c r="AM407" s="568"/>
      <c r="AN407" s="595"/>
      <c r="BS407" s="568"/>
      <c r="BT407" s="568"/>
      <c r="BU407" s="568"/>
      <c r="BV407" s="568"/>
      <c r="BW407" s="568"/>
      <c r="BX407" s="568"/>
      <c r="BY407" s="568"/>
      <c r="BZ407" s="568"/>
      <c r="CA407" s="568"/>
      <c r="CB407" s="568"/>
      <c r="CC407" s="568"/>
    </row>
    <row r="408" spans="1:81" s="549" customFormat="1" ht="12.75" customHeight="1">
      <c r="A408" s="536"/>
      <c r="B408" s="14"/>
      <c r="C408" s="727"/>
      <c r="D408" s="14"/>
      <c r="E408" s="687"/>
      <c r="F408" s="2438"/>
      <c r="G408" s="2438"/>
      <c r="H408" s="2438"/>
      <c r="I408" s="2438"/>
      <c r="J408" s="2438"/>
      <c r="K408" s="2438"/>
      <c r="L408" s="2438"/>
      <c r="M408" s="2438"/>
      <c r="N408" s="2438"/>
      <c r="O408" s="2438"/>
      <c r="P408" s="2438"/>
      <c r="Q408" s="2438"/>
      <c r="R408" s="2438"/>
      <c r="S408" s="2438"/>
      <c r="T408" s="2438"/>
      <c r="U408" s="2438"/>
      <c r="V408" s="2438"/>
      <c r="W408" s="2438"/>
      <c r="X408" s="2438"/>
      <c r="Y408" s="2438"/>
      <c r="Z408" s="2438"/>
      <c r="AA408" s="2438"/>
      <c r="AB408" s="2438"/>
      <c r="AC408" s="2438"/>
      <c r="AD408" s="2438"/>
      <c r="AE408" s="2438"/>
      <c r="AF408" s="2438"/>
      <c r="AG408" s="539"/>
      <c r="AH408" s="539"/>
      <c r="AI408" s="539"/>
      <c r="AJ408" s="539"/>
      <c r="AK408" s="539"/>
      <c r="AL408" s="716"/>
      <c r="AM408" s="568"/>
      <c r="AN408" s="595"/>
      <c r="BS408" s="568"/>
      <c r="BT408" s="568"/>
      <c r="BU408" s="568"/>
      <c r="BV408" s="568"/>
      <c r="BW408" s="568"/>
      <c r="BX408" s="568"/>
      <c r="BY408" s="568"/>
      <c r="BZ408" s="568"/>
      <c r="CA408" s="568"/>
      <c r="CB408" s="568"/>
      <c r="CC408" s="568"/>
    </row>
    <row r="409" spans="1:81" s="549" customFormat="1" ht="12.75" customHeight="1">
      <c r="A409" s="536"/>
      <c r="B409" s="14"/>
      <c r="C409" s="727"/>
      <c r="D409" s="14"/>
      <c r="E409" s="687"/>
      <c r="F409" s="2438"/>
      <c r="G409" s="2438"/>
      <c r="H409" s="2438"/>
      <c r="I409" s="2438"/>
      <c r="J409" s="2438"/>
      <c r="K409" s="2438"/>
      <c r="L409" s="2438"/>
      <c r="M409" s="2438"/>
      <c r="N409" s="2438"/>
      <c r="O409" s="2438"/>
      <c r="P409" s="2438"/>
      <c r="Q409" s="2438"/>
      <c r="R409" s="2438"/>
      <c r="S409" s="2438"/>
      <c r="T409" s="2438"/>
      <c r="U409" s="2438"/>
      <c r="V409" s="2438"/>
      <c r="W409" s="2438"/>
      <c r="X409" s="2438"/>
      <c r="Y409" s="2438"/>
      <c r="Z409" s="2438"/>
      <c r="AA409" s="2438"/>
      <c r="AB409" s="2438"/>
      <c r="AC409" s="2438"/>
      <c r="AD409" s="2438"/>
      <c r="AE409" s="2438"/>
      <c r="AF409" s="2438"/>
      <c r="AG409" s="539"/>
      <c r="AH409" s="539"/>
      <c r="AI409" s="539"/>
      <c r="AJ409" s="539"/>
      <c r="AK409" s="539"/>
      <c r="AL409" s="716"/>
      <c r="AM409" s="568"/>
      <c r="AN409" s="595"/>
      <c r="BS409" s="568"/>
      <c r="BT409" s="568"/>
      <c r="BU409" s="568"/>
      <c r="BV409" s="568"/>
      <c r="BW409" s="568"/>
      <c r="BX409" s="568"/>
      <c r="BY409" s="568"/>
      <c r="BZ409" s="568"/>
      <c r="CA409" s="568"/>
      <c r="CB409" s="568"/>
      <c r="CC409" s="568"/>
    </row>
    <row r="410" spans="1:81" s="549" customFormat="1" ht="12.75" customHeight="1">
      <c r="A410" s="536"/>
      <c r="B410" s="14"/>
      <c r="C410" s="2462" t="s">
        <v>545</v>
      </c>
      <c r="D410" s="2409"/>
      <c r="E410" s="687"/>
      <c r="F410" s="717" t="s">
        <v>1457</v>
      </c>
      <c r="G410" s="601"/>
      <c r="H410" s="601"/>
      <c r="I410" s="601"/>
      <c r="J410" s="601"/>
      <c r="K410" s="601"/>
      <c r="L410" s="601"/>
      <c r="M410" s="601"/>
      <c r="N410" s="601"/>
      <c r="O410" s="601"/>
      <c r="P410" s="601"/>
      <c r="Q410" s="601"/>
      <c r="R410" s="601"/>
      <c r="S410" s="601"/>
      <c r="T410" s="601"/>
      <c r="U410" s="601"/>
      <c r="V410" s="601"/>
      <c r="W410" s="601"/>
      <c r="X410" s="601"/>
      <c r="Y410" s="601"/>
      <c r="Z410" s="601"/>
      <c r="AA410" s="601"/>
      <c r="AB410" s="601"/>
      <c r="AC410" s="601"/>
      <c r="AD410" s="601"/>
      <c r="AF410" s="2463" t="s">
        <v>1458</v>
      </c>
      <c r="AG410" s="2463"/>
      <c r="AH410" s="2463"/>
      <c r="AI410" s="2463"/>
      <c r="AJ410" s="2463"/>
      <c r="AK410" s="2463"/>
      <c r="AL410" s="2464"/>
      <c r="AM410" s="718"/>
      <c r="BS410" s="568"/>
      <c r="BT410" s="568"/>
      <c r="BU410" s="568"/>
      <c r="BV410" s="568"/>
      <c r="BW410" s="568"/>
      <c r="BX410" s="568"/>
      <c r="BY410" s="568"/>
      <c r="BZ410" s="568"/>
      <c r="CA410" s="568"/>
      <c r="CB410" s="568"/>
      <c r="CC410" s="568"/>
    </row>
    <row r="411" spans="1:81" s="549" customFormat="1" ht="12.75" customHeight="1">
      <c r="A411" s="536"/>
      <c r="B411" s="14"/>
      <c r="C411" s="727"/>
      <c r="D411" s="14"/>
      <c r="E411" s="687"/>
      <c r="F411" s="571"/>
      <c r="G411" s="571"/>
      <c r="H411" s="571"/>
      <c r="I411" s="571"/>
      <c r="J411" s="571"/>
      <c r="K411" s="571"/>
      <c r="L411" s="571"/>
      <c r="M411" s="571"/>
      <c r="N411" s="571"/>
      <c r="O411" s="571"/>
      <c r="P411" s="571"/>
      <c r="Q411" s="571"/>
      <c r="R411" s="571"/>
      <c r="S411" s="571"/>
      <c r="T411" s="571"/>
      <c r="U411" s="571"/>
      <c r="V411" s="571"/>
      <c r="W411" s="571"/>
      <c r="X411" s="571"/>
      <c r="Y411" s="571"/>
      <c r="Z411" s="571"/>
      <c r="AA411" s="571"/>
      <c r="AB411" s="571"/>
      <c r="AC411" s="571"/>
      <c r="AD411" s="571"/>
      <c r="AL411" s="728"/>
      <c r="AM411" s="568"/>
      <c r="AN411" s="595"/>
      <c r="BS411" s="568"/>
      <c r="BT411" s="568"/>
      <c r="BU411" s="568"/>
      <c r="BV411" s="568"/>
      <c r="BW411" s="568"/>
      <c r="BX411" s="568"/>
      <c r="BY411" s="568"/>
      <c r="BZ411" s="568"/>
      <c r="CA411" s="568"/>
      <c r="CB411" s="568"/>
      <c r="CC411" s="568"/>
    </row>
    <row r="412" spans="1:81" s="549" customFormat="1" ht="12.75" customHeight="1">
      <c r="A412" s="536"/>
      <c r="B412" s="14"/>
      <c r="C412" s="2462" t="s">
        <v>591</v>
      </c>
      <c r="D412" s="2409"/>
      <c r="E412" s="687"/>
      <c r="F412" s="734" t="s">
        <v>1459</v>
      </c>
      <c r="G412" s="571"/>
      <c r="H412" s="571"/>
      <c r="I412" s="571"/>
      <c r="J412" s="571"/>
      <c r="K412" s="571"/>
      <c r="L412" s="571"/>
      <c r="M412" s="571"/>
      <c r="N412" s="571"/>
      <c r="O412" s="571"/>
      <c r="P412" s="571"/>
      <c r="Q412" s="571"/>
      <c r="R412" s="571"/>
      <c r="S412" s="571"/>
      <c r="T412" s="571"/>
      <c r="U412" s="571"/>
      <c r="V412" s="571"/>
      <c r="W412" s="571"/>
      <c r="X412" s="571"/>
      <c r="Y412" s="571"/>
      <c r="Z412" s="571"/>
      <c r="AA412" s="571"/>
      <c r="AB412" s="571"/>
      <c r="AC412" s="571"/>
      <c r="AD412" s="571"/>
      <c r="AF412" s="2463" t="s">
        <v>1453</v>
      </c>
      <c r="AG412" s="2463"/>
      <c r="AH412" s="2463"/>
      <c r="AI412" s="2463"/>
      <c r="AJ412" s="2463"/>
      <c r="AK412" s="2463"/>
      <c r="AL412" s="2464"/>
      <c r="AM412" s="568"/>
      <c r="AN412" s="595"/>
      <c r="BS412" s="568"/>
      <c r="BT412" s="568"/>
      <c r="BU412" s="568"/>
    </row>
    <row r="413" spans="1:81" s="549" customFormat="1" ht="12.75" customHeight="1">
      <c r="A413" s="536"/>
      <c r="B413" s="14"/>
      <c r="C413" s="735"/>
      <c r="E413" s="687"/>
      <c r="G413" s="571"/>
      <c r="H413" s="571"/>
      <c r="I413" s="571"/>
      <c r="J413" s="571"/>
      <c r="K413" s="571"/>
      <c r="L413" s="571"/>
      <c r="M413" s="571"/>
      <c r="N413" s="571"/>
      <c r="O413" s="571"/>
      <c r="P413" s="571"/>
      <c r="Q413" s="571"/>
      <c r="R413" s="571"/>
      <c r="S413" s="571"/>
      <c r="T413" s="571"/>
      <c r="U413" s="571"/>
      <c r="V413" s="571"/>
      <c r="W413" s="571"/>
      <c r="X413" s="571"/>
      <c r="Y413" s="571"/>
      <c r="Z413" s="571"/>
      <c r="AA413" s="571"/>
      <c r="AB413" s="571"/>
      <c r="AC413" s="571"/>
      <c r="AD413" s="571"/>
      <c r="AL413" s="728"/>
      <c r="AM413" s="568"/>
      <c r="AN413" s="595"/>
      <c r="BS413" s="568"/>
      <c r="BT413" s="568"/>
      <c r="BU413" s="568"/>
    </row>
    <row r="414" spans="1:81" s="549" customFormat="1" ht="12.75" customHeight="1">
      <c r="A414" s="536"/>
      <c r="B414" s="14"/>
      <c r="C414" s="736"/>
      <c r="D414" s="729"/>
      <c r="E414" s="730"/>
      <c r="F414" s="737" t="s">
        <v>1460</v>
      </c>
      <c r="G414" s="731"/>
      <c r="H414" s="731"/>
      <c r="I414" s="731"/>
      <c r="J414" s="731"/>
      <c r="K414" s="731"/>
      <c r="L414" s="731"/>
      <c r="M414" s="731"/>
      <c r="N414" s="731"/>
      <c r="O414" s="731"/>
      <c r="P414" s="731"/>
      <c r="Q414" s="731"/>
      <c r="R414" s="731"/>
      <c r="S414" s="731"/>
      <c r="T414" s="731"/>
      <c r="U414" s="731"/>
      <c r="V414" s="731"/>
      <c r="W414" s="731"/>
      <c r="X414" s="731"/>
      <c r="Y414" s="731"/>
      <c r="Z414" s="731"/>
      <c r="AA414" s="731"/>
      <c r="AB414" s="731"/>
      <c r="AC414" s="731"/>
      <c r="AD414" s="731"/>
      <c r="AE414" s="733"/>
      <c r="AF414" s="581"/>
      <c r="AG414" s="733"/>
      <c r="AH414" s="723"/>
      <c r="AI414" s="723"/>
      <c r="AJ414" s="723"/>
      <c r="AK414" s="723"/>
      <c r="AL414" s="738"/>
      <c r="AM414" s="568"/>
      <c r="AN414" s="595"/>
      <c r="BS414" s="568"/>
      <c r="BT414" s="568"/>
      <c r="BU414" s="568"/>
    </row>
    <row r="415" spans="1:81" s="549" customFormat="1" ht="12.75" customHeight="1">
      <c r="A415" s="536"/>
      <c r="B415" s="14"/>
      <c r="C415" s="14"/>
      <c r="D415" s="14"/>
      <c r="E415" s="687"/>
      <c r="F415" s="672"/>
      <c r="G415" s="672"/>
      <c r="H415" s="672"/>
      <c r="I415" s="672"/>
      <c r="J415" s="672"/>
      <c r="K415" s="672"/>
      <c r="L415" s="672"/>
      <c r="M415" s="672"/>
      <c r="N415" s="672"/>
      <c r="O415" s="672"/>
      <c r="P415" s="672"/>
      <c r="Q415" s="672"/>
      <c r="R415" s="672"/>
      <c r="S415" s="672"/>
      <c r="T415" s="672"/>
      <c r="U415" s="672"/>
      <c r="V415" s="672"/>
      <c r="W415" s="672"/>
      <c r="X415" s="672"/>
      <c r="Y415" s="672"/>
      <c r="Z415" s="672"/>
      <c r="AA415" s="672"/>
      <c r="AB415" s="672"/>
      <c r="AC415" s="672"/>
      <c r="AD415" s="672"/>
      <c r="AE415" s="536"/>
      <c r="AF415" s="539"/>
      <c r="AG415" s="536"/>
      <c r="AM415" s="568"/>
      <c r="AN415" s="595"/>
      <c r="BS415" s="568"/>
      <c r="BT415" s="568"/>
      <c r="BU415" s="568"/>
    </row>
    <row r="416" spans="1:81" s="549" customFormat="1" ht="12.75" customHeight="1">
      <c r="A416" s="536"/>
      <c r="B416" s="14"/>
      <c r="C416" s="709"/>
      <c r="D416" s="710"/>
      <c r="E416" s="711" t="s">
        <v>1461</v>
      </c>
      <c r="F416" s="2437" t="s">
        <v>1462</v>
      </c>
      <c r="G416" s="2437"/>
      <c r="H416" s="2437"/>
      <c r="I416" s="2437"/>
      <c r="J416" s="2437"/>
      <c r="K416" s="2437"/>
      <c r="L416" s="2437"/>
      <c r="M416" s="2437"/>
      <c r="N416" s="2437"/>
      <c r="O416" s="2437"/>
      <c r="P416" s="2437"/>
      <c r="Q416" s="2437"/>
      <c r="R416" s="2437"/>
      <c r="S416" s="2437"/>
      <c r="T416" s="2437"/>
      <c r="U416" s="2437"/>
      <c r="V416" s="2437"/>
      <c r="W416" s="2437"/>
      <c r="X416" s="2437"/>
      <c r="Y416" s="2437"/>
      <c r="Z416" s="2437"/>
      <c r="AA416" s="2437"/>
      <c r="AB416" s="2437"/>
      <c r="AC416" s="2437"/>
      <c r="AD416" s="2437"/>
      <c r="AE416" s="2437"/>
      <c r="AF416" s="2437"/>
      <c r="AG416" s="712"/>
      <c r="AH416" s="712"/>
      <c r="AI416" s="712"/>
      <c r="AJ416" s="712"/>
      <c r="AK416" s="712"/>
      <c r="AL416" s="713"/>
      <c r="AM416" s="568"/>
      <c r="AN416" s="595"/>
      <c r="BS416" s="568"/>
      <c r="BT416" s="568"/>
      <c r="BU416" s="568"/>
      <c r="BV416" s="568"/>
      <c r="BW416" s="568"/>
      <c r="BX416" s="568"/>
      <c r="BY416" s="568"/>
      <c r="BZ416" s="568"/>
      <c r="CA416" s="568"/>
      <c r="CB416" s="568"/>
      <c r="CC416" s="568"/>
    </row>
    <row r="417" spans="1:81" s="549" customFormat="1" ht="12.75" customHeight="1">
      <c r="A417" s="536"/>
      <c r="B417" s="14"/>
      <c r="C417" s="727"/>
      <c r="D417" s="14"/>
      <c r="E417" s="687"/>
      <c r="F417" s="2438"/>
      <c r="G417" s="2438"/>
      <c r="H417" s="2438"/>
      <c r="I417" s="2438"/>
      <c r="J417" s="2438"/>
      <c r="K417" s="2438"/>
      <c r="L417" s="2438"/>
      <c r="M417" s="2438"/>
      <c r="N417" s="2438"/>
      <c r="O417" s="2438"/>
      <c r="P417" s="2438"/>
      <c r="Q417" s="2438"/>
      <c r="R417" s="2438"/>
      <c r="S417" s="2438"/>
      <c r="T417" s="2438"/>
      <c r="U417" s="2438"/>
      <c r="V417" s="2438"/>
      <c r="W417" s="2438"/>
      <c r="X417" s="2438"/>
      <c r="Y417" s="2438"/>
      <c r="Z417" s="2438"/>
      <c r="AA417" s="2438"/>
      <c r="AB417" s="2438"/>
      <c r="AC417" s="2438"/>
      <c r="AD417" s="2438"/>
      <c r="AE417" s="2438"/>
      <c r="AF417" s="2438"/>
      <c r="AG417" s="539"/>
      <c r="AH417" s="539"/>
      <c r="AI417" s="539"/>
      <c r="AJ417" s="539"/>
      <c r="AK417" s="539"/>
      <c r="AL417" s="716"/>
      <c r="AM417" s="568"/>
      <c r="AN417" s="595"/>
      <c r="BS417" s="568"/>
      <c r="BT417" s="568"/>
      <c r="BU417" s="568"/>
      <c r="BV417" s="568"/>
      <c r="BW417" s="568"/>
      <c r="BX417" s="568"/>
      <c r="BY417" s="568"/>
      <c r="BZ417" s="568"/>
      <c r="CA417" s="568"/>
      <c r="CB417" s="568"/>
      <c r="CC417" s="568"/>
    </row>
    <row r="418" spans="1:81">
      <c r="A418" s="536"/>
      <c r="C418" s="727"/>
      <c r="E418" s="687"/>
      <c r="F418" s="2438"/>
      <c r="G418" s="2438"/>
      <c r="H418" s="2438"/>
      <c r="I418" s="2438"/>
      <c r="J418" s="2438"/>
      <c r="K418" s="2438"/>
      <c r="L418" s="2438"/>
      <c r="M418" s="2438"/>
      <c r="N418" s="2438"/>
      <c r="O418" s="2438"/>
      <c r="P418" s="2438"/>
      <c r="Q418" s="2438"/>
      <c r="R418" s="2438"/>
      <c r="S418" s="2438"/>
      <c r="T418" s="2438"/>
      <c r="U418" s="2438"/>
      <c r="V418" s="2438"/>
      <c r="W418" s="2438"/>
      <c r="X418" s="2438"/>
      <c r="Y418" s="2438"/>
      <c r="Z418" s="2438"/>
      <c r="AA418" s="2438"/>
      <c r="AB418" s="2438"/>
      <c r="AC418" s="2438"/>
      <c r="AD418" s="2438"/>
      <c r="AE418" s="2438"/>
      <c r="AF418" s="2438"/>
      <c r="AG418" s="539"/>
      <c r="AH418" s="539"/>
      <c r="AI418" s="539"/>
      <c r="AJ418" s="539"/>
      <c r="AK418" s="539"/>
      <c r="AL418" s="716"/>
      <c r="AM418" s="568"/>
      <c r="BS418" s="568"/>
      <c r="BT418" s="568"/>
      <c r="BU418" s="568"/>
      <c r="BV418" s="568"/>
      <c r="BW418" s="568"/>
      <c r="BX418" s="568"/>
      <c r="BY418" s="568"/>
      <c r="BZ418" s="568"/>
      <c r="CA418" s="568"/>
      <c r="CB418" s="568"/>
      <c r="CC418" s="568"/>
    </row>
    <row r="419" spans="1:81" s="549" customFormat="1" ht="12.75" customHeight="1">
      <c r="B419" s="14"/>
      <c r="C419" s="727"/>
      <c r="D419" s="14"/>
      <c r="E419" s="687"/>
      <c r="F419" s="2438"/>
      <c r="G419" s="2438"/>
      <c r="H419" s="2438"/>
      <c r="I419" s="2438"/>
      <c r="J419" s="2438"/>
      <c r="K419" s="2438"/>
      <c r="L419" s="2438"/>
      <c r="M419" s="2438"/>
      <c r="N419" s="2438"/>
      <c r="O419" s="2438"/>
      <c r="P419" s="2438"/>
      <c r="Q419" s="2438"/>
      <c r="R419" s="2438"/>
      <c r="S419" s="2438"/>
      <c r="T419" s="2438"/>
      <c r="U419" s="2438"/>
      <c r="V419" s="2438"/>
      <c r="W419" s="2438"/>
      <c r="X419" s="2438"/>
      <c r="Y419" s="2438"/>
      <c r="Z419" s="2438"/>
      <c r="AA419" s="2438"/>
      <c r="AB419" s="2438"/>
      <c r="AC419" s="2438"/>
      <c r="AD419" s="2438"/>
      <c r="AE419" s="2438"/>
      <c r="AF419" s="2438"/>
      <c r="AG419" s="539"/>
      <c r="AH419" s="539"/>
      <c r="AI419" s="539"/>
      <c r="AJ419" s="539"/>
      <c r="AK419" s="539"/>
      <c r="AL419" s="716"/>
      <c r="AM419" s="568"/>
      <c r="AN419" s="595"/>
      <c r="BS419" s="568"/>
      <c r="BT419" s="568"/>
      <c r="BY419" s="568"/>
      <c r="BZ419" s="568"/>
      <c r="CA419" s="568"/>
      <c r="CB419" s="568"/>
      <c r="CC419" s="568"/>
    </row>
    <row r="420" spans="1:81" s="549" customFormat="1" ht="12.75" customHeight="1">
      <c r="A420" s="536"/>
      <c r="B420" s="14"/>
      <c r="C420" s="2462" t="s">
        <v>591</v>
      </c>
      <c r="D420" s="2409"/>
      <c r="E420" s="687"/>
      <c r="F420" s="717" t="s">
        <v>1463</v>
      </c>
      <c r="G420" s="601"/>
      <c r="H420" s="601"/>
      <c r="I420" s="601"/>
      <c r="J420" s="601"/>
      <c r="K420" s="601"/>
      <c r="L420" s="601"/>
      <c r="M420" s="601"/>
      <c r="N420" s="601"/>
      <c r="O420" s="601"/>
      <c r="P420" s="601"/>
      <c r="Q420" s="601"/>
      <c r="R420" s="601"/>
      <c r="S420" s="601"/>
      <c r="T420" s="601"/>
      <c r="U420" s="601"/>
      <c r="V420" s="601"/>
      <c r="W420" s="601"/>
      <c r="X420" s="601"/>
      <c r="Y420" s="601"/>
      <c r="Z420" s="601"/>
      <c r="AA420" s="601"/>
      <c r="AB420" s="601"/>
      <c r="AC420" s="601"/>
      <c r="AD420" s="601"/>
      <c r="AF420" s="2463" t="s">
        <v>1453</v>
      </c>
      <c r="AG420" s="2463"/>
      <c r="AH420" s="2463"/>
      <c r="AI420" s="2463"/>
      <c r="AJ420" s="2463"/>
      <c r="AK420" s="2463"/>
      <c r="AL420" s="2464"/>
      <c r="AM420" s="568"/>
      <c r="AN420" s="595"/>
      <c r="BS420" s="568"/>
      <c r="BT420" s="568"/>
      <c r="BY420" s="568"/>
      <c r="BZ420" s="568"/>
      <c r="CA420" s="568"/>
      <c r="CB420" s="568"/>
      <c r="CC420" s="568"/>
    </row>
    <row r="421" spans="1:81" s="549" customFormat="1" ht="12.75" customHeight="1">
      <c r="A421" s="536"/>
      <c r="B421" s="14"/>
      <c r="C421" s="727"/>
      <c r="D421" s="14"/>
      <c r="E421" s="687"/>
      <c r="G421" s="601"/>
      <c r="H421" s="601"/>
      <c r="I421" s="601"/>
      <c r="J421" s="601"/>
      <c r="K421" s="601"/>
      <c r="L421" s="601"/>
      <c r="M421" s="601"/>
      <c r="N421" s="601"/>
      <c r="O421" s="601"/>
      <c r="P421" s="601"/>
      <c r="Q421" s="601"/>
      <c r="R421" s="601"/>
      <c r="S421" s="601"/>
      <c r="T421" s="601"/>
      <c r="U421" s="601"/>
      <c r="V421" s="601"/>
      <c r="W421" s="601"/>
      <c r="X421" s="601"/>
      <c r="Y421" s="601"/>
      <c r="Z421" s="601"/>
      <c r="AA421" s="601"/>
      <c r="AB421" s="601"/>
      <c r="AC421" s="601"/>
      <c r="AD421" s="601"/>
      <c r="AL421" s="728"/>
      <c r="AM421" s="568"/>
      <c r="AN421" s="595"/>
      <c r="BS421" s="568"/>
      <c r="BT421" s="568"/>
      <c r="BY421" s="568"/>
      <c r="BZ421" s="568"/>
      <c r="CA421" s="568"/>
      <c r="CB421" s="568"/>
      <c r="CC421" s="568"/>
    </row>
    <row r="422" spans="1:81" s="549" customFormat="1" ht="12.75" customHeight="1">
      <c r="A422" s="536"/>
      <c r="B422" s="14"/>
      <c r="C422" s="2462" t="s">
        <v>545</v>
      </c>
      <c r="D422" s="2409"/>
      <c r="E422" s="715"/>
      <c r="F422" s="717" t="s">
        <v>1464</v>
      </c>
      <c r="G422" s="601"/>
      <c r="H422" s="601"/>
      <c r="I422" s="601"/>
      <c r="J422" s="601"/>
      <c r="K422" s="601"/>
      <c r="L422" s="601"/>
      <c r="M422" s="601"/>
      <c r="N422" s="601"/>
      <c r="O422" s="601"/>
      <c r="P422" s="601"/>
      <c r="Q422" s="601"/>
      <c r="R422" s="601"/>
      <c r="S422" s="601"/>
      <c r="T422" s="601"/>
      <c r="U422" s="601"/>
      <c r="V422" s="601"/>
      <c r="W422" s="601"/>
      <c r="X422" s="601"/>
      <c r="Y422" s="601"/>
      <c r="Z422" s="601"/>
      <c r="AA422" s="601"/>
      <c r="AB422" s="601"/>
      <c r="AC422" s="601"/>
      <c r="AD422" s="601"/>
      <c r="AF422" s="2463" t="s">
        <v>1465</v>
      </c>
      <c r="AG422" s="2463"/>
      <c r="AH422" s="2463"/>
      <c r="AI422" s="2463"/>
      <c r="AJ422" s="2463"/>
      <c r="AK422" s="2463"/>
      <c r="AL422" s="2464"/>
      <c r="AM422" s="568"/>
      <c r="AN422" s="595"/>
      <c r="BS422" s="568"/>
      <c r="BT422" s="568"/>
      <c r="BY422" s="568"/>
      <c r="BZ422" s="568"/>
      <c r="CA422" s="568"/>
      <c r="CB422" s="568"/>
      <c r="CC422" s="568"/>
    </row>
    <row r="423" spans="1:81" s="549" customFormat="1" ht="12.75" customHeight="1">
      <c r="A423" s="536"/>
      <c r="B423" s="14"/>
      <c r="C423" s="739"/>
      <c r="D423" s="723"/>
      <c r="E423" s="720"/>
      <c r="F423" s="723"/>
      <c r="G423" s="722"/>
      <c r="H423" s="722"/>
      <c r="I423" s="722"/>
      <c r="J423" s="722"/>
      <c r="K423" s="722"/>
      <c r="L423" s="722"/>
      <c r="M423" s="722"/>
      <c r="N423" s="722"/>
      <c r="O423" s="722"/>
      <c r="P423" s="722"/>
      <c r="Q423" s="722"/>
      <c r="R423" s="722"/>
      <c r="S423" s="722"/>
      <c r="T423" s="722"/>
      <c r="U423" s="722"/>
      <c r="V423" s="722"/>
      <c r="W423" s="722"/>
      <c r="X423" s="722"/>
      <c r="Y423" s="722"/>
      <c r="Z423" s="722"/>
      <c r="AA423" s="722"/>
      <c r="AB423" s="722"/>
      <c r="AC423" s="722"/>
      <c r="AD423" s="722"/>
      <c r="AE423" s="723"/>
      <c r="AF423" s="723"/>
      <c r="AG423" s="723"/>
      <c r="AH423" s="723"/>
      <c r="AI423" s="723"/>
      <c r="AJ423" s="723"/>
      <c r="AK423" s="723"/>
      <c r="AL423" s="738"/>
      <c r="AM423" s="568"/>
      <c r="AN423" s="595"/>
      <c r="BS423" s="568"/>
      <c r="BT423" s="568"/>
      <c r="BY423" s="568"/>
      <c r="BZ423" s="568"/>
      <c r="CA423" s="568"/>
      <c r="CB423" s="568"/>
      <c r="CC423" s="568"/>
    </row>
    <row r="424" spans="1:81" s="549" customFormat="1" ht="12.75" customHeight="1">
      <c r="A424" s="536"/>
      <c r="B424" s="14"/>
      <c r="C424" s="14"/>
      <c r="D424" s="14"/>
      <c r="E424" s="687"/>
      <c r="G424" s="601"/>
      <c r="H424" s="601"/>
      <c r="I424" s="601"/>
      <c r="J424" s="601"/>
      <c r="K424" s="601"/>
      <c r="L424" s="601"/>
      <c r="M424" s="601"/>
      <c r="N424" s="601"/>
      <c r="O424" s="601"/>
      <c r="P424" s="601"/>
      <c r="Q424" s="601"/>
      <c r="R424" s="601"/>
      <c r="S424" s="601"/>
      <c r="T424" s="601"/>
      <c r="U424" s="601"/>
      <c r="V424" s="601"/>
      <c r="W424" s="601"/>
      <c r="X424" s="601"/>
      <c r="Y424" s="601"/>
      <c r="Z424" s="601"/>
      <c r="AA424" s="601"/>
      <c r="AB424" s="601"/>
      <c r="AC424" s="601"/>
      <c r="AD424" s="601"/>
      <c r="AE424" s="536"/>
      <c r="AF424" s="539"/>
      <c r="AG424" s="536"/>
      <c r="AM424" s="568"/>
      <c r="AN424" s="595"/>
      <c r="BS424" s="568"/>
      <c r="BT424" s="568"/>
      <c r="BY424" s="568"/>
      <c r="BZ424" s="568"/>
      <c r="CA424" s="568"/>
      <c r="CB424" s="568"/>
      <c r="CC424" s="568"/>
    </row>
    <row r="425" spans="1:81" s="549" customFormat="1" ht="12.75" customHeight="1">
      <c r="A425" s="536"/>
      <c r="B425" s="14"/>
      <c r="C425" s="2462" t="s">
        <v>591</v>
      </c>
      <c r="D425" s="2409"/>
      <c r="E425" s="711" t="s">
        <v>1466</v>
      </c>
      <c r="F425" s="2437" t="s">
        <v>1467</v>
      </c>
      <c r="G425" s="2437"/>
      <c r="H425" s="2437"/>
      <c r="I425" s="2437"/>
      <c r="J425" s="2437"/>
      <c r="K425" s="2437"/>
      <c r="L425" s="2437"/>
      <c r="M425" s="2437"/>
      <c r="N425" s="2437"/>
      <c r="O425" s="2437"/>
      <c r="P425" s="2437"/>
      <c r="Q425" s="2437"/>
      <c r="R425" s="2437"/>
      <c r="S425" s="2437"/>
      <c r="T425" s="2437"/>
      <c r="U425" s="2437"/>
      <c r="V425" s="2437"/>
      <c r="W425" s="2437"/>
      <c r="X425" s="2437"/>
      <c r="Y425" s="2437"/>
      <c r="Z425" s="2437"/>
      <c r="AA425" s="2437"/>
      <c r="AB425" s="2437"/>
      <c r="AC425" s="2437"/>
      <c r="AD425" s="2437"/>
      <c r="AE425" s="2437"/>
      <c r="AF425" s="712"/>
      <c r="AG425" s="740"/>
      <c r="AH425" s="710"/>
      <c r="AI425" s="710"/>
      <c r="AJ425" s="710"/>
      <c r="AK425" s="710"/>
      <c r="AL425" s="741"/>
      <c r="AM425" s="568"/>
      <c r="AN425" s="595"/>
      <c r="BS425" s="568"/>
      <c r="BT425" s="568"/>
      <c r="BY425" s="568"/>
      <c r="BZ425" s="568"/>
      <c r="CA425" s="568"/>
      <c r="CB425" s="568"/>
      <c r="CC425" s="568"/>
    </row>
    <row r="426" spans="1:81" s="549" customFormat="1" ht="12.75" customHeight="1">
      <c r="A426" s="536"/>
      <c r="B426" s="14"/>
      <c r="C426" s="735"/>
      <c r="F426" s="2438"/>
      <c r="G426" s="2438"/>
      <c r="H426" s="2438"/>
      <c r="I426" s="2438"/>
      <c r="J426" s="2438"/>
      <c r="K426" s="2438"/>
      <c r="L426" s="2438"/>
      <c r="M426" s="2438"/>
      <c r="N426" s="2438"/>
      <c r="O426" s="2438"/>
      <c r="P426" s="2438"/>
      <c r="Q426" s="2438"/>
      <c r="R426" s="2438"/>
      <c r="S426" s="2438"/>
      <c r="T426" s="2438"/>
      <c r="U426" s="2438"/>
      <c r="V426" s="2438"/>
      <c r="W426" s="2438"/>
      <c r="X426" s="2438"/>
      <c r="Y426" s="2438"/>
      <c r="Z426" s="2438"/>
      <c r="AA426" s="2438"/>
      <c r="AB426" s="2438"/>
      <c r="AC426" s="2438"/>
      <c r="AD426" s="2438"/>
      <c r="AE426" s="2438"/>
      <c r="AF426" s="2388" t="s">
        <v>1453</v>
      </c>
      <c r="AG426" s="2388"/>
      <c r="AH426" s="2388"/>
      <c r="AI426" s="2388"/>
      <c r="AJ426" s="2388"/>
      <c r="AK426" s="2388"/>
      <c r="AL426" s="2469"/>
      <c r="AM426" s="568"/>
      <c r="AN426" s="595"/>
      <c r="BS426" s="568"/>
      <c r="BT426" s="568"/>
      <c r="BY426" s="568"/>
      <c r="BZ426" s="568"/>
      <c r="CA426" s="568"/>
      <c r="CB426" s="568"/>
      <c r="CC426" s="568"/>
    </row>
    <row r="427" spans="1:81" s="549" customFormat="1" ht="12.75" customHeight="1">
      <c r="A427" s="536"/>
      <c r="B427" s="14"/>
      <c r="C427" s="727"/>
      <c r="D427" s="14"/>
      <c r="E427" s="687"/>
      <c r="F427" s="2438"/>
      <c r="G427" s="2438"/>
      <c r="H427" s="2438"/>
      <c r="I427" s="2438"/>
      <c r="J427" s="2438"/>
      <c r="K427" s="2438"/>
      <c r="L427" s="2438"/>
      <c r="M427" s="2438"/>
      <c r="N427" s="2438"/>
      <c r="O427" s="2438"/>
      <c r="P427" s="2438"/>
      <c r="Q427" s="2438"/>
      <c r="R427" s="2438"/>
      <c r="S427" s="2438"/>
      <c r="T427" s="2438"/>
      <c r="U427" s="2438"/>
      <c r="V427" s="2438"/>
      <c r="W427" s="2438"/>
      <c r="X427" s="2438"/>
      <c r="Y427" s="2438"/>
      <c r="Z427" s="2438"/>
      <c r="AA427" s="2438"/>
      <c r="AB427" s="2438"/>
      <c r="AC427" s="2438"/>
      <c r="AD427" s="2438"/>
      <c r="AE427" s="2438"/>
      <c r="AL427" s="728"/>
      <c r="AM427" s="568"/>
      <c r="AN427" s="595"/>
      <c r="BS427" s="568"/>
      <c r="BT427" s="568"/>
      <c r="BU427" s="568"/>
      <c r="BV427" s="568"/>
      <c r="BW427" s="568"/>
      <c r="BX427" s="568"/>
      <c r="BY427" s="568"/>
      <c r="BZ427" s="568"/>
      <c r="CA427" s="568"/>
      <c r="CB427" s="568"/>
      <c r="CC427" s="568"/>
    </row>
    <row r="428" spans="1:81" s="549" customFormat="1" ht="12.75" customHeight="1">
      <c r="A428" s="536"/>
      <c r="B428" s="14"/>
      <c r="C428" s="736"/>
      <c r="D428" s="729"/>
      <c r="E428" s="730"/>
      <c r="F428" s="2439"/>
      <c r="G428" s="2439"/>
      <c r="H428" s="2439"/>
      <c r="I428" s="2439"/>
      <c r="J428" s="2439"/>
      <c r="K428" s="2439"/>
      <c r="L428" s="2439"/>
      <c r="M428" s="2439"/>
      <c r="N428" s="2439"/>
      <c r="O428" s="2439"/>
      <c r="P428" s="2439"/>
      <c r="Q428" s="2439"/>
      <c r="R428" s="2439"/>
      <c r="S428" s="2439"/>
      <c r="T428" s="2439"/>
      <c r="U428" s="2439"/>
      <c r="V428" s="2439"/>
      <c r="W428" s="2439"/>
      <c r="X428" s="2439"/>
      <c r="Y428" s="2439"/>
      <c r="Z428" s="2439"/>
      <c r="AA428" s="2439"/>
      <c r="AB428" s="2439"/>
      <c r="AC428" s="2439"/>
      <c r="AD428" s="2439"/>
      <c r="AE428" s="2439"/>
      <c r="AF428" s="581"/>
      <c r="AG428" s="733"/>
      <c r="AH428" s="723"/>
      <c r="AI428" s="723"/>
      <c r="AJ428" s="723"/>
      <c r="AK428" s="723"/>
      <c r="AL428" s="738"/>
      <c r="AM428" s="568"/>
      <c r="AN428" s="595"/>
    </row>
    <row r="429" spans="1:81">
      <c r="A429" s="536"/>
      <c r="E429" s="687"/>
      <c r="F429" s="601"/>
      <c r="G429" s="601"/>
      <c r="H429" s="601"/>
      <c r="I429" s="601"/>
      <c r="J429" s="601"/>
      <c r="K429" s="601"/>
      <c r="L429" s="601"/>
      <c r="M429" s="601"/>
      <c r="N429" s="601"/>
      <c r="O429" s="601"/>
      <c r="P429" s="601"/>
      <c r="Q429" s="601"/>
      <c r="R429" s="601"/>
      <c r="S429" s="601"/>
      <c r="T429" s="601"/>
      <c r="U429" s="601"/>
      <c r="V429" s="601"/>
      <c r="W429" s="601"/>
      <c r="X429" s="601"/>
      <c r="Y429" s="601"/>
      <c r="Z429" s="601"/>
      <c r="AA429" s="601"/>
      <c r="AB429" s="601"/>
      <c r="AC429" s="601"/>
      <c r="AD429" s="601"/>
      <c r="AE429" s="536"/>
      <c r="AF429" s="539"/>
      <c r="AG429" s="536"/>
      <c r="AH429" s="549"/>
      <c r="AI429" s="549"/>
      <c r="AJ429" s="549"/>
      <c r="AK429" s="549"/>
      <c r="AL429" s="549"/>
      <c r="AM429" s="568"/>
    </row>
    <row r="430" spans="1:81" ht="12.75" customHeight="1">
      <c r="A430" s="536"/>
      <c r="C430" s="742"/>
      <c r="D430" s="743"/>
      <c r="E430" s="711" t="s">
        <v>1468</v>
      </c>
      <c r="F430" s="2437" t="s">
        <v>1469</v>
      </c>
      <c r="G430" s="2437"/>
      <c r="H430" s="2437"/>
      <c r="I430" s="2437"/>
      <c r="J430" s="2437"/>
      <c r="K430" s="2437"/>
      <c r="L430" s="2437"/>
      <c r="M430" s="2437"/>
      <c r="N430" s="2437"/>
      <c r="O430" s="2437"/>
      <c r="P430" s="2437"/>
      <c r="Q430" s="2437"/>
      <c r="R430" s="2437"/>
      <c r="S430" s="2437"/>
      <c r="T430" s="2437"/>
      <c r="U430" s="2437"/>
      <c r="V430" s="2437"/>
      <c r="W430" s="2437"/>
      <c r="X430" s="2437"/>
      <c r="Y430" s="2437"/>
      <c r="Z430" s="2437"/>
      <c r="AA430" s="2437"/>
      <c r="AB430" s="2437"/>
      <c r="AC430" s="2437"/>
      <c r="AD430" s="2437"/>
      <c r="AE430" s="2437"/>
      <c r="AF430" s="743"/>
      <c r="AG430" s="743"/>
      <c r="AH430" s="743"/>
      <c r="AI430" s="743"/>
      <c r="AJ430" s="743"/>
      <c r="AK430" s="743"/>
      <c r="AL430" s="744"/>
      <c r="AM430" s="568"/>
    </row>
    <row r="431" spans="1:81">
      <c r="A431" s="536"/>
      <c r="C431" s="727"/>
      <c r="E431" s="687"/>
      <c r="F431" s="2438"/>
      <c r="G431" s="2438"/>
      <c r="H431" s="2438"/>
      <c r="I431" s="2438"/>
      <c r="J431" s="2438"/>
      <c r="K431" s="2438"/>
      <c r="L431" s="2438"/>
      <c r="M431" s="2438"/>
      <c r="N431" s="2438"/>
      <c r="O431" s="2438"/>
      <c r="P431" s="2438"/>
      <c r="Q431" s="2438"/>
      <c r="R431" s="2438"/>
      <c r="S431" s="2438"/>
      <c r="T431" s="2438"/>
      <c r="U431" s="2438"/>
      <c r="V431" s="2438"/>
      <c r="W431" s="2438"/>
      <c r="X431" s="2438"/>
      <c r="Y431" s="2438"/>
      <c r="Z431" s="2438"/>
      <c r="AA431" s="2438"/>
      <c r="AB431" s="2438"/>
      <c r="AC431" s="2438"/>
      <c r="AD431" s="2438"/>
      <c r="AE431" s="2438"/>
      <c r="AF431" s="539"/>
      <c r="AG431" s="536"/>
      <c r="AH431" s="549"/>
      <c r="AI431" s="549"/>
      <c r="AJ431" s="549"/>
      <c r="AK431" s="549"/>
      <c r="AL431" s="728"/>
      <c r="AM431" s="568"/>
    </row>
    <row r="432" spans="1:81" s="549" customFormat="1" ht="12.75" customHeight="1">
      <c r="A432" s="536"/>
      <c r="B432" s="14"/>
      <c r="C432" s="727"/>
      <c r="D432" s="14"/>
      <c r="E432" s="687"/>
      <c r="F432" s="2438"/>
      <c r="G432" s="2438"/>
      <c r="H432" s="2438"/>
      <c r="I432" s="2438"/>
      <c r="J432" s="2438"/>
      <c r="K432" s="2438"/>
      <c r="L432" s="2438"/>
      <c r="M432" s="2438"/>
      <c r="N432" s="2438"/>
      <c r="O432" s="2438"/>
      <c r="P432" s="2438"/>
      <c r="Q432" s="2438"/>
      <c r="R432" s="2438"/>
      <c r="S432" s="2438"/>
      <c r="T432" s="2438"/>
      <c r="U432" s="2438"/>
      <c r="V432" s="2438"/>
      <c r="W432" s="2438"/>
      <c r="X432" s="2438"/>
      <c r="Y432" s="2438"/>
      <c r="Z432" s="2438"/>
      <c r="AA432" s="2438"/>
      <c r="AB432" s="2438"/>
      <c r="AC432" s="2438"/>
      <c r="AD432" s="2438"/>
      <c r="AE432" s="2438"/>
      <c r="AL432" s="728"/>
      <c r="AM432" s="568"/>
      <c r="AN432" s="595"/>
    </row>
    <row r="433" spans="1:60" s="549" customFormat="1" ht="12.75" customHeight="1">
      <c r="A433" s="536"/>
      <c r="B433" s="14"/>
      <c r="C433" s="735"/>
      <c r="F433" s="2438"/>
      <c r="G433" s="2438"/>
      <c r="H433" s="2438"/>
      <c r="I433" s="2438"/>
      <c r="J433" s="2438"/>
      <c r="K433" s="2438"/>
      <c r="L433" s="2438"/>
      <c r="M433" s="2438"/>
      <c r="N433" s="2438"/>
      <c r="O433" s="2438"/>
      <c r="P433" s="2438"/>
      <c r="Q433" s="2438"/>
      <c r="R433" s="2438"/>
      <c r="S433" s="2438"/>
      <c r="T433" s="2438"/>
      <c r="U433" s="2438"/>
      <c r="V433" s="2438"/>
      <c r="W433" s="2438"/>
      <c r="X433" s="2438"/>
      <c r="Y433" s="2438"/>
      <c r="Z433" s="2438"/>
      <c r="AA433" s="2438"/>
      <c r="AB433" s="2438"/>
      <c r="AC433" s="2438"/>
      <c r="AD433" s="2438"/>
      <c r="AE433" s="2438"/>
      <c r="AL433" s="728"/>
      <c r="AM433" s="568"/>
      <c r="AN433" s="595"/>
    </row>
    <row r="434" spans="1:60" s="549" customFormat="1" ht="12.75" customHeight="1">
      <c r="A434" s="536"/>
      <c r="B434" s="14"/>
      <c r="C434" s="2462" t="s">
        <v>591</v>
      </c>
      <c r="D434" s="2409"/>
      <c r="E434" s="687"/>
      <c r="F434" s="717" t="s">
        <v>1470</v>
      </c>
      <c r="G434" s="601"/>
      <c r="H434" s="601"/>
      <c r="I434" s="601"/>
      <c r="J434" s="601"/>
      <c r="K434" s="601"/>
      <c r="L434" s="601"/>
      <c r="M434" s="601"/>
      <c r="N434" s="601"/>
      <c r="O434" s="601"/>
      <c r="P434" s="601"/>
      <c r="Q434" s="601"/>
      <c r="R434" s="601"/>
      <c r="S434" s="601"/>
      <c r="T434" s="601"/>
      <c r="U434" s="601"/>
      <c r="V434" s="601"/>
      <c r="W434" s="601"/>
      <c r="X434" s="601"/>
      <c r="Y434" s="601"/>
      <c r="Z434" s="601"/>
      <c r="AA434" s="601"/>
      <c r="AB434" s="601"/>
      <c r="AC434" s="601"/>
      <c r="AD434" s="601"/>
      <c r="AF434" s="2388" t="s">
        <v>1453</v>
      </c>
      <c r="AG434" s="2388"/>
      <c r="AH434" s="2388"/>
      <c r="AI434" s="2388"/>
      <c r="AJ434" s="2388"/>
      <c r="AK434" s="2388"/>
      <c r="AL434" s="2469"/>
      <c r="AM434" s="568"/>
      <c r="AN434" s="595"/>
    </row>
    <row r="435" spans="1:60" s="549" customFormat="1" ht="12.75" customHeight="1">
      <c r="A435" s="536"/>
      <c r="B435" s="14"/>
      <c r="C435" s="735"/>
      <c r="AL435" s="728"/>
      <c r="AM435" s="568"/>
      <c r="AN435" s="595"/>
    </row>
    <row r="436" spans="1:60" s="549" customFormat="1" ht="12.75" customHeight="1">
      <c r="A436" s="536"/>
      <c r="B436" s="14"/>
      <c r="C436" s="2462" t="s">
        <v>591</v>
      </c>
      <c r="D436" s="2409"/>
      <c r="E436" s="715"/>
      <c r="F436" s="717" t="s">
        <v>1471</v>
      </c>
      <c r="G436" s="601"/>
      <c r="H436" s="601"/>
      <c r="I436" s="601"/>
      <c r="J436" s="601"/>
      <c r="K436" s="601"/>
      <c r="L436" s="601"/>
      <c r="M436" s="601"/>
      <c r="N436" s="601"/>
      <c r="O436" s="601"/>
      <c r="P436" s="601"/>
      <c r="Q436" s="601"/>
      <c r="R436" s="601"/>
      <c r="S436" s="601"/>
      <c r="T436" s="601"/>
      <c r="U436" s="601"/>
      <c r="V436" s="601"/>
      <c r="W436" s="601"/>
      <c r="X436" s="601"/>
      <c r="Y436" s="601"/>
      <c r="Z436" s="601"/>
      <c r="AA436" s="601"/>
      <c r="AB436" s="601"/>
      <c r="AC436" s="601"/>
      <c r="AD436" s="601"/>
      <c r="AF436" s="2388" t="s">
        <v>1465</v>
      </c>
      <c r="AG436" s="2388"/>
      <c r="AH436" s="2388"/>
      <c r="AI436" s="2388"/>
      <c r="AJ436" s="2388"/>
      <c r="AK436" s="2388"/>
      <c r="AL436" s="2469"/>
      <c r="AM436" s="568"/>
      <c r="AN436" s="595"/>
      <c r="AO436" s="594"/>
      <c r="AP436" s="594"/>
      <c r="BC436" s="14"/>
    </row>
    <row r="437" spans="1:60" s="549" customFormat="1" ht="12.75" customHeight="1">
      <c r="A437" s="536"/>
      <c r="B437" s="14"/>
      <c r="C437" s="729"/>
      <c r="D437" s="729"/>
      <c r="E437" s="730"/>
      <c r="F437" s="721"/>
      <c r="G437" s="722"/>
      <c r="H437" s="722"/>
      <c r="I437" s="722"/>
      <c r="J437" s="722"/>
      <c r="K437" s="722"/>
      <c r="L437" s="722"/>
      <c r="M437" s="722"/>
      <c r="N437" s="722"/>
      <c r="O437" s="722"/>
      <c r="P437" s="722"/>
      <c r="Q437" s="722"/>
      <c r="R437" s="722"/>
      <c r="S437" s="722"/>
      <c r="T437" s="722"/>
      <c r="U437" s="722"/>
      <c r="V437" s="722"/>
      <c r="W437" s="722"/>
      <c r="X437" s="722"/>
      <c r="Y437" s="722"/>
      <c r="Z437" s="722"/>
      <c r="AA437" s="722"/>
      <c r="AB437" s="722"/>
      <c r="AC437" s="722"/>
      <c r="AD437" s="722"/>
      <c r="AE437" s="733"/>
      <c r="AF437" s="581"/>
      <c r="AG437" s="733"/>
      <c r="AH437" s="723"/>
      <c r="AI437" s="723"/>
      <c r="AJ437" s="723"/>
      <c r="AK437" s="723"/>
      <c r="AL437" s="738"/>
      <c r="AM437" s="568"/>
      <c r="AN437" s="595"/>
    </row>
    <row r="438" spans="1:60" s="549" customFormat="1" ht="12.75" customHeight="1">
      <c r="A438" s="536"/>
      <c r="B438" s="14"/>
      <c r="C438" s="14"/>
      <c r="D438" s="14"/>
      <c r="E438" s="687"/>
      <c r="F438" s="717"/>
      <c r="G438" s="601"/>
      <c r="H438" s="601"/>
      <c r="I438" s="601"/>
      <c r="J438" s="601"/>
      <c r="K438" s="601"/>
      <c r="L438" s="601"/>
      <c r="M438" s="601"/>
      <c r="N438" s="601"/>
      <c r="O438" s="601"/>
      <c r="P438" s="601"/>
      <c r="Q438" s="601"/>
      <c r="R438" s="601"/>
      <c r="S438" s="601"/>
      <c r="T438" s="601"/>
      <c r="U438" s="601"/>
      <c r="V438" s="601"/>
      <c r="W438" s="601"/>
      <c r="X438" s="601"/>
      <c r="Y438" s="601"/>
      <c r="Z438" s="601"/>
      <c r="AA438" s="601"/>
      <c r="AB438" s="601"/>
      <c r="AC438" s="601"/>
      <c r="AD438" s="601"/>
      <c r="AE438" s="536"/>
      <c r="AF438" s="539"/>
      <c r="AG438" s="536"/>
      <c r="AM438" s="568"/>
      <c r="AN438" s="595"/>
    </row>
    <row r="439" spans="1:60" s="549" customFormat="1" ht="12.75" customHeight="1">
      <c r="A439" s="536"/>
      <c r="B439" s="14"/>
      <c r="C439" s="708" t="s">
        <v>2163</v>
      </c>
      <c r="D439" s="14"/>
      <c r="E439" s="687"/>
      <c r="F439" s="601"/>
      <c r="G439" s="601"/>
      <c r="H439" s="601"/>
      <c r="I439" s="601"/>
      <c r="J439" s="601"/>
      <c r="K439" s="601"/>
      <c r="L439" s="601"/>
      <c r="M439" s="601"/>
      <c r="N439" s="601"/>
      <c r="O439" s="601"/>
      <c r="P439" s="601"/>
      <c r="Q439" s="601"/>
      <c r="R439" s="601"/>
      <c r="S439" s="601"/>
      <c r="T439" s="601"/>
      <c r="U439" s="601"/>
      <c r="V439" s="601"/>
      <c r="W439" s="601"/>
      <c r="X439" s="601"/>
      <c r="Y439" s="601"/>
      <c r="Z439" s="601"/>
      <c r="AA439" s="601"/>
      <c r="AB439" s="601"/>
      <c r="AC439" s="601"/>
      <c r="AD439" s="601"/>
      <c r="AE439" s="536"/>
      <c r="AF439" s="539"/>
      <c r="AG439" s="536"/>
      <c r="AM439" s="568"/>
      <c r="AN439" s="595"/>
    </row>
    <row r="440" spans="1:60" s="549" customFormat="1" ht="12.75" customHeight="1">
      <c r="A440" s="536"/>
      <c r="B440" s="14"/>
      <c r="C440" s="709"/>
      <c r="D440" s="710"/>
      <c r="E440" s="711" t="s">
        <v>1472</v>
      </c>
      <c r="F440" s="2437" t="s">
        <v>1473</v>
      </c>
      <c r="G440" s="2437"/>
      <c r="H440" s="2437"/>
      <c r="I440" s="2437"/>
      <c r="J440" s="2437"/>
      <c r="K440" s="2437"/>
      <c r="L440" s="2437"/>
      <c r="M440" s="2437"/>
      <c r="N440" s="2437"/>
      <c r="O440" s="2437"/>
      <c r="P440" s="2437"/>
      <c r="Q440" s="2437"/>
      <c r="R440" s="2437"/>
      <c r="S440" s="2437"/>
      <c r="T440" s="2437"/>
      <c r="U440" s="2437"/>
      <c r="V440" s="2437"/>
      <c r="W440" s="2437"/>
      <c r="X440" s="2437"/>
      <c r="Y440" s="2437"/>
      <c r="Z440" s="2437"/>
      <c r="AA440" s="2437"/>
      <c r="AB440" s="2437"/>
      <c r="AC440" s="2437"/>
      <c r="AD440" s="2437"/>
      <c r="AE440" s="2437"/>
      <c r="AF440" s="710"/>
      <c r="AG440" s="710"/>
      <c r="AH440" s="710"/>
      <c r="AI440" s="710"/>
      <c r="AJ440" s="710"/>
      <c r="AK440" s="710"/>
      <c r="AL440" s="741"/>
      <c r="AM440" s="568"/>
      <c r="AN440" s="595"/>
    </row>
    <row r="441" spans="1:60" s="549" customFormat="1" ht="12.75" customHeight="1">
      <c r="A441" s="536"/>
      <c r="B441" s="14"/>
      <c r="C441" s="727"/>
      <c r="D441" s="14"/>
      <c r="E441" s="687"/>
      <c r="F441" s="2438"/>
      <c r="G441" s="2438"/>
      <c r="H441" s="2438"/>
      <c r="I441" s="2438"/>
      <c r="J441" s="2438"/>
      <c r="K441" s="2438"/>
      <c r="L441" s="2438"/>
      <c r="M441" s="2438"/>
      <c r="N441" s="2438"/>
      <c r="O441" s="2438"/>
      <c r="P441" s="2438"/>
      <c r="Q441" s="2438"/>
      <c r="R441" s="2438"/>
      <c r="S441" s="2438"/>
      <c r="T441" s="2438"/>
      <c r="U441" s="2438"/>
      <c r="V441" s="2438"/>
      <c r="W441" s="2438"/>
      <c r="X441" s="2438"/>
      <c r="Y441" s="2438"/>
      <c r="Z441" s="2438"/>
      <c r="AA441" s="2438"/>
      <c r="AB441" s="2438"/>
      <c r="AC441" s="2438"/>
      <c r="AD441" s="2438"/>
      <c r="AE441" s="2438"/>
      <c r="AF441" s="539"/>
      <c r="AG441" s="536"/>
      <c r="AL441" s="728"/>
      <c r="AM441" s="568"/>
      <c r="AN441" s="595"/>
    </row>
    <row r="442" spans="1:60" s="549" customFormat="1" ht="12.4" customHeight="1">
      <c r="A442" s="536"/>
      <c r="B442" s="14"/>
      <c r="C442" s="727"/>
      <c r="D442" s="14"/>
      <c r="E442" s="687"/>
      <c r="F442" s="2438"/>
      <c r="G442" s="2438"/>
      <c r="H442" s="2438"/>
      <c r="I442" s="2438"/>
      <c r="J442" s="2438"/>
      <c r="K442" s="2438"/>
      <c r="L442" s="2438"/>
      <c r="M442" s="2438"/>
      <c r="N442" s="2438"/>
      <c r="O442" s="2438"/>
      <c r="P442" s="2438"/>
      <c r="Q442" s="2438"/>
      <c r="R442" s="2438"/>
      <c r="S442" s="2438"/>
      <c r="T442" s="2438"/>
      <c r="U442" s="2438"/>
      <c r="V442" s="2438"/>
      <c r="W442" s="2438"/>
      <c r="X442" s="2438"/>
      <c r="Y442" s="2438"/>
      <c r="Z442" s="2438"/>
      <c r="AA442" s="2438"/>
      <c r="AB442" s="2438"/>
      <c r="AC442" s="2438"/>
      <c r="AD442" s="2438"/>
      <c r="AE442" s="2438"/>
      <c r="AL442" s="728"/>
      <c r="AM442" s="568"/>
      <c r="AN442" s="595"/>
    </row>
    <row r="443" spans="1:60" s="549" customFormat="1" ht="12.75" customHeight="1">
      <c r="A443" s="536"/>
      <c r="B443" s="14"/>
      <c r="C443" s="2462" t="s">
        <v>591</v>
      </c>
      <c r="D443" s="2409"/>
      <c r="E443" s="687"/>
      <c r="F443" s="717" t="s">
        <v>1474</v>
      </c>
      <c r="G443" s="745"/>
      <c r="H443" s="745"/>
      <c r="I443" s="745"/>
      <c r="J443" s="745"/>
      <c r="K443" s="745"/>
      <c r="L443" s="745"/>
      <c r="M443" s="745"/>
      <c r="N443" s="745"/>
      <c r="O443" s="745"/>
      <c r="P443" s="745"/>
      <c r="Q443" s="745"/>
      <c r="R443" s="745"/>
      <c r="S443" s="745"/>
      <c r="T443" s="745"/>
      <c r="U443" s="745"/>
      <c r="V443" s="745"/>
      <c r="W443" s="745"/>
      <c r="X443" s="745"/>
      <c r="Y443" s="745"/>
      <c r="Z443" s="745"/>
      <c r="AA443" s="745"/>
      <c r="AB443" s="745"/>
      <c r="AC443" s="745"/>
      <c r="AD443" s="745"/>
      <c r="AF443" s="2388" t="s">
        <v>1453</v>
      </c>
      <c r="AG443" s="2388"/>
      <c r="AH443" s="2388"/>
      <c r="AI443" s="2388"/>
      <c r="AJ443" s="2388"/>
      <c r="AK443" s="2388"/>
      <c r="AL443" s="2469"/>
      <c r="AM443" s="568"/>
      <c r="AN443" s="595"/>
    </row>
    <row r="444" spans="1:60" s="549" customFormat="1" ht="12.75" customHeight="1">
      <c r="A444" s="536"/>
      <c r="B444" s="14"/>
      <c r="C444" s="739"/>
      <c r="D444" s="723"/>
      <c r="E444" s="720"/>
      <c r="F444" s="737"/>
      <c r="G444" s="722"/>
      <c r="H444" s="722"/>
      <c r="I444" s="722"/>
      <c r="J444" s="722"/>
      <c r="K444" s="722"/>
      <c r="L444" s="722"/>
      <c r="M444" s="722"/>
      <c r="N444" s="722"/>
      <c r="O444" s="722"/>
      <c r="P444" s="722"/>
      <c r="Q444" s="722"/>
      <c r="R444" s="722"/>
      <c r="S444" s="722"/>
      <c r="T444" s="722"/>
      <c r="U444" s="722"/>
      <c r="V444" s="722"/>
      <c r="W444" s="722"/>
      <c r="X444" s="722"/>
      <c r="Y444" s="722"/>
      <c r="Z444" s="722"/>
      <c r="AA444" s="722"/>
      <c r="AB444" s="722"/>
      <c r="AC444" s="722"/>
      <c r="AD444" s="722"/>
      <c r="AE444" s="723"/>
      <c r="AF444" s="723"/>
      <c r="AG444" s="723"/>
      <c r="AH444" s="723"/>
      <c r="AI444" s="723"/>
      <c r="AJ444" s="723"/>
      <c r="AK444" s="723"/>
      <c r="AL444" s="738"/>
      <c r="AM444" s="568"/>
      <c r="AN444" s="595"/>
    </row>
    <row r="445" spans="1:60" s="549" customFormat="1" ht="12.75" customHeight="1">
      <c r="A445" s="536"/>
      <c r="B445" s="14"/>
      <c r="C445" s="726"/>
      <c r="D445" s="726"/>
      <c r="E445" s="715"/>
      <c r="F445" s="717"/>
      <c r="G445" s="601"/>
      <c r="H445" s="601"/>
      <c r="I445" s="601"/>
      <c r="J445" s="601"/>
      <c r="K445" s="601"/>
      <c r="L445" s="601"/>
      <c r="M445" s="601"/>
      <c r="N445" s="601"/>
      <c r="O445" s="601"/>
      <c r="P445" s="601"/>
      <c r="Q445" s="601"/>
      <c r="R445" s="601"/>
      <c r="S445" s="601"/>
      <c r="T445" s="601"/>
      <c r="U445" s="601"/>
      <c r="V445" s="601"/>
      <c r="W445" s="601"/>
      <c r="X445" s="601"/>
      <c r="Y445" s="601"/>
      <c r="Z445" s="601"/>
      <c r="AA445" s="601"/>
      <c r="AB445" s="601"/>
      <c r="AC445" s="601"/>
      <c r="AD445" s="601"/>
      <c r="AE445" s="536"/>
      <c r="AM445" s="568"/>
      <c r="AN445" s="595"/>
    </row>
    <row r="446" spans="1:60" ht="13.15" customHeight="1">
      <c r="A446" s="536"/>
      <c r="C446" s="742"/>
      <c r="D446" s="743"/>
      <c r="E446" s="711" t="s">
        <v>1475</v>
      </c>
      <c r="F446" s="2437" t="s">
        <v>1476</v>
      </c>
      <c r="G446" s="2437"/>
      <c r="H446" s="2437"/>
      <c r="I446" s="2437"/>
      <c r="J446" s="2437"/>
      <c r="K446" s="2437"/>
      <c r="L446" s="2437"/>
      <c r="M446" s="2437"/>
      <c r="N446" s="2437"/>
      <c r="O446" s="2437"/>
      <c r="P446" s="2437"/>
      <c r="Q446" s="2437"/>
      <c r="R446" s="2437"/>
      <c r="S446" s="2437"/>
      <c r="T446" s="2437"/>
      <c r="U446" s="2437"/>
      <c r="V446" s="2437"/>
      <c r="W446" s="2437"/>
      <c r="X446" s="2437"/>
      <c r="Y446" s="2437"/>
      <c r="Z446" s="2437"/>
      <c r="AA446" s="2437"/>
      <c r="AB446" s="2437"/>
      <c r="AC446" s="2437"/>
      <c r="AD446" s="2437"/>
      <c r="AE446" s="2437"/>
      <c r="AF446" s="743"/>
      <c r="AG446" s="743"/>
      <c r="AH446" s="743"/>
      <c r="AI446" s="743"/>
      <c r="AJ446" s="743"/>
      <c r="AK446" s="743"/>
      <c r="AL446" s="744"/>
      <c r="AM446" s="568"/>
      <c r="AO446" s="549"/>
      <c r="AP446" s="549"/>
      <c r="BD446" s="14"/>
      <c r="BE446" s="14"/>
      <c r="BF446" s="14"/>
      <c r="BG446" s="14"/>
      <c r="BH446" s="14"/>
    </row>
    <row r="447" spans="1:60">
      <c r="A447" s="536"/>
      <c r="C447" s="727"/>
      <c r="E447" s="687"/>
      <c r="F447" s="2438"/>
      <c r="G447" s="2438"/>
      <c r="H447" s="2438"/>
      <c r="I447" s="2438"/>
      <c r="J447" s="2438"/>
      <c r="K447" s="2438"/>
      <c r="L447" s="2438"/>
      <c r="M447" s="2438"/>
      <c r="N447" s="2438"/>
      <c r="O447" s="2438"/>
      <c r="P447" s="2438"/>
      <c r="Q447" s="2438"/>
      <c r="R447" s="2438"/>
      <c r="S447" s="2438"/>
      <c r="T447" s="2438"/>
      <c r="U447" s="2438"/>
      <c r="V447" s="2438"/>
      <c r="W447" s="2438"/>
      <c r="X447" s="2438"/>
      <c r="Y447" s="2438"/>
      <c r="Z447" s="2438"/>
      <c r="AA447" s="2438"/>
      <c r="AB447" s="2438"/>
      <c r="AC447" s="2438"/>
      <c r="AD447" s="2438"/>
      <c r="AE447" s="2438"/>
      <c r="AF447" s="592"/>
      <c r="AG447" s="592"/>
      <c r="AH447" s="592"/>
      <c r="AI447" s="592"/>
      <c r="AJ447" s="592"/>
      <c r="AK447" s="592"/>
      <c r="AL447" s="746"/>
      <c r="AM447" s="568"/>
      <c r="AO447" s="549"/>
      <c r="AP447" s="549"/>
    </row>
    <row r="448" spans="1:60" s="549" customFormat="1" ht="12.75" customHeight="1">
      <c r="A448" s="536"/>
      <c r="B448" s="14"/>
      <c r="C448" s="727"/>
      <c r="D448" s="14"/>
      <c r="E448" s="687"/>
      <c r="F448" s="2438"/>
      <c r="G448" s="2438"/>
      <c r="H448" s="2438"/>
      <c r="I448" s="2438"/>
      <c r="J448" s="2438"/>
      <c r="K448" s="2438"/>
      <c r="L448" s="2438"/>
      <c r="M448" s="2438"/>
      <c r="N448" s="2438"/>
      <c r="O448" s="2438"/>
      <c r="P448" s="2438"/>
      <c r="Q448" s="2438"/>
      <c r="R448" s="2438"/>
      <c r="S448" s="2438"/>
      <c r="T448" s="2438"/>
      <c r="U448" s="2438"/>
      <c r="V448" s="2438"/>
      <c r="W448" s="2438"/>
      <c r="X448" s="2438"/>
      <c r="Y448" s="2438"/>
      <c r="Z448" s="2438"/>
      <c r="AA448" s="2438"/>
      <c r="AB448" s="2438"/>
      <c r="AC448" s="2438"/>
      <c r="AD448" s="2438"/>
      <c r="AE448" s="2438"/>
      <c r="AF448" s="592"/>
      <c r="AG448" s="592"/>
      <c r="AH448" s="592"/>
      <c r="AI448" s="592"/>
      <c r="AJ448" s="592"/>
      <c r="AK448" s="592"/>
      <c r="AL448" s="746"/>
      <c r="AM448" s="568"/>
      <c r="AN448" s="595"/>
    </row>
    <row r="449" spans="1:42" s="549" customFormat="1" ht="12.75" customHeight="1">
      <c r="A449" s="536"/>
      <c r="B449" s="14"/>
      <c r="C449" s="747"/>
      <c r="D449" s="726"/>
      <c r="E449" s="715"/>
      <c r="F449" s="2438"/>
      <c r="G449" s="2438"/>
      <c r="H449" s="2438"/>
      <c r="I449" s="2438"/>
      <c r="J449" s="2438"/>
      <c r="K449" s="2438"/>
      <c r="L449" s="2438"/>
      <c r="M449" s="2438"/>
      <c r="N449" s="2438"/>
      <c r="O449" s="2438"/>
      <c r="P449" s="2438"/>
      <c r="Q449" s="2438"/>
      <c r="R449" s="2438"/>
      <c r="S449" s="2438"/>
      <c r="T449" s="2438"/>
      <c r="U449" s="2438"/>
      <c r="V449" s="2438"/>
      <c r="W449" s="2438"/>
      <c r="X449" s="2438"/>
      <c r="Y449" s="2438"/>
      <c r="Z449" s="2438"/>
      <c r="AA449" s="2438"/>
      <c r="AB449" s="2438"/>
      <c r="AC449" s="2438"/>
      <c r="AD449" s="2438"/>
      <c r="AE449" s="2438"/>
      <c r="AF449" s="592"/>
      <c r="AG449" s="592"/>
      <c r="AH449" s="592"/>
      <c r="AI449" s="592"/>
      <c r="AJ449" s="592"/>
      <c r="AK449" s="592"/>
      <c r="AL449" s="746"/>
      <c r="AM449" s="568"/>
      <c r="AN449" s="595"/>
      <c r="AO449" s="30"/>
      <c r="AP449" s="14"/>
    </row>
    <row r="450" spans="1:42" s="549" customFormat="1" ht="12.75" customHeight="1">
      <c r="A450" s="536"/>
      <c r="B450" s="14"/>
      <c r="C450" s="747"/>
      <c r="D450" s="726"/>
      <c r="E450" s="715"/>
      <c r="F450" s="2438"/>
      <c r="G450" s="2438"/>
      <c r="H450" s="2438"/>
      <c r="I450" s="2438"/>
      <c r="J450" s="2438"/>
      <c r="K450" s="2438"/>
      <c r="L450" s="2438"/>
      <c r="M450" s="2438"/>
      <c r="N450" s="2438"/>
      <c r="O450" s="2438"/>
      <c r="P450" s="2438"/>
      <c r="Q450" s="2438"/>
      <c r="R450" s="2438"/>
      <c r="S450" s="2438"/>
      <c r="T450" s="2438"/>
      <c r="U450" s="2438"/>
      <c r="V450" s="2438"/>
      <c r="W450" s="2438"/>
      <c r="X450" s="2438"/>
      <c r="Y450" s="2438"/>
      <c r="Z450" s="2438"/>
      <c r="AA450" s="2438"/>
      <c r="AB450" s="2438"/>
      <c r="AC450" s="2438"/>
      <c r="AD450" s="2438"/>
      <c r="AE450" s="2438"/>
      <c r="AF450" s="592"/>
      <c r="AG450" s="592"/>
      <c r="AH450" s="592"/>
      <c r="AI450" s="592"/>
      <c r="AJ450" s="592"/>
      <c r="AK450" s="592"/>
      <c r="AL450" s="746"/>
      <c r="AM450" s="568"/>
      <c r="AN450" s="595"/>
    </row>
    <row r="451" spans="1:42" s="549" customFormat="1" ht="12.75" customHeight="1">
      <c r="A451" s="536"/>
      <c r="B451" s="14"/>
      <c r="C451" s="747"/>
      <c r="D451" s="726"/>
      <c r="E451" s="715"/>
      <c r="F451" s="2438"/>
      <c r="G451" s="2438"/>
      <c r="H451" s="2438"/>
      <c r="I451" s="2438"/>
      <c r="J451" s="2438"/>
      <c r="K451" s="2438"/>
      <c r="L451" s="2438"/>
      <c r="M451" s="2438"/>
      <c r="N451" s="2438"/>
      <c r="O451" s="2438"/>
      <c r="P451" s="2438"/>
      <c r="Q451" s="2438"/>
      <c r="R451" s="2438"/>
      <c r="S451" s="2438"/>
      <c r="T451" s="2438"/>
      <c r="U451" s="2438"/>
      <c r="V451" s="2438"/>
      <c r="W451" s="2438"/>
      <c r="X451" s="2438"/>
      <c r="Y451" s="2438"/>
      <c r="Z451" s="2438"/>
      <c r="AA451" s="2438"/>
      <c r="AB451" s="2438"/>
      <c r="AC451" s="2438"/>
      <c r="AD451" s="2438"/>
      <c r="AE451" s="2438"/>
      <c r="AF451" s="592"/>
      <c r="AG451" s="592"/>
      <c r="AH451" s="592"/>
      <c r="AI451" s="592"/>
      <c r="AJ451" s="592"/>
      <c r="AK451" s="592"/>
      <c r="AL451" s="746"/>
      <c r="AM451" s="568"/>
      <c r="AN451" s="595"/>
    </row>
    <row r="452" spans="1:42" s="549" customFormat="1" ht="12.75" customHeight="1">
      <c r="A452" s="536"/>
      <c r="B452" s="14"/>
      <c r="C452" s="747"/>
      <c r="D452" s="726"/>
      <c r="E452" s="715"/>
      <c r="F452" s="2438"/>
      <c r="G452" s="2438"/>
      <c r="H452" s="2438"/>
      <c r="I452" s="2438"/>
      <c r="J452" s="2438"/>
      <c r="K452" s="2438"/>
      <c r="L452" s="2438"/>
      <c r="M452" s="2438"/>
      <c r="N452" s="2438"/>
      <c r="O452" s="2438"/>
      <c r="P452" s="2438"/>
      <c r="Q452" s="2438"/>
      <c r="R452" s="2438"/>
      <c r="S452" s="2438"/>
      <c r="T452" s="2438"/>
      <c r="U452" s="2438"/>
      <c r="V452" s="2438"/>
      <c r="W452" s="2438"/>
      <c r="X452" s="2438"/>
      <c r="Y452" s="2438"/>
      <c r="Z452" s="2438"/>
      <c r="AA452" s="2438"/>
      <c r="AB452" s="2438"/>
      <c r="AC452" s="2438"/>
      <c r="AD452" s="2438"/>
      <c r="AE452" s="2438"/>
      <c r="AF452" s="592"/>
      <c r="AG452" s="592"/>
      <c r="AH452" s="592"/>
      <c r="AI452" s="592"/>
      <c r="AJ452" s="592"/>
      <c r="AK452" s="592"/>
      <c r="AL452" s="746"/>
      <c r="AM452" s="568"/>
      <c r="AN452" s="595"/>
    </row>
    <row r="453" spans="1:42" s="549" customFormat="1" ht="12.75" customHeight="1">
      <c r="A453" s="536"/>
      <c r="B453" s="14"/>
      <c r="C453" s="747"/>
      <c r="D453" s="726"/>
      <c r="E453" s="715"/>
      <c r="F453" s="2438"/>
      <c r="G453" s="2438"/>
      <c r="H453" s="2438"/>
      <c r="I453" s="2438"/>
      <c r="J453" s="2438"/>
      <c r="K453" s="2438"/>
      <c r="L453" s="2438"/>
      <c r="M453" s="2438"/>
      <c r="N453" s="2438"/>
      <c r="O453" s="2438"/>
      <c r="P453" s="2438"/>
      <c r="Q453" s="2438"/>
      <c r="R453" s="2438"/>
      <c r="S453" s="2438"/>
      <c r="T453" s="2438"/>
      <c r="U453" s="2438"/>
      <c r="V453" s="2438"/>
      <c r="W453" s="2438"/>
      <c r="X453" s="2438"/>
      <c r="Y453" s="2438"/>
      <c r="Z453" s="2438"/>
      <c r="AA453" s="2438"/>
      <c r="AB453" s="2438"/>
      <c r="AC453" s="2438"/>
      <c r="AD453" s="2438"/>
      <c r="AE453" s="2438"/>
      <c r="AF453" s="592"/>
      <c r="AG453" s="592"/>
      <c r="AH453" s="592"/>
      <c r="AI453" s="592"/>
      <c r="AJ453" s="592"/>
      <c r="AK453" s="592"/>
      <c r="AL453" s="746"/>
      <c r="AM453" s="568"/>
      <c r="AN453" s="595"/>
    </row>
    <row r="454" spans="1:42" s="549" customFormat="1" ht="17.25" customHeight="1">
      <c r="A454" s="536"/>
      <c r="B454" s="14"/>
      <c r="C454" s="747"/>
      <c r="D454" s="726"/>
      <c r="E454" s="715"/>
      <c r="F454" s="2438"/>
      <c r="G454" s="2438"/>
      <c r="H454" s="2438"/>
      <c r="I454" s="2438"/>
      <c r="J454" s="2438"/>
      <c r="K454" s="2438"/>
      <c r="L454" s="2438"/>
      <c r="M454" s="2438"/>
      <c r="N454" s="2438"/>
      <c r="O454" s="2438"/>
      <c r="P454" s="2438"/>
      <c r="Q454" s="2438"/>
      <c r="R454" s="2438"/>
      <c r="S454" s="2438"/>
      <c r="T454" s="2438"/>
      <c r="U454" s="2438"/>
      <c r="V454" s="2438"/>
      <c r="W454" s="2438"/>
      <c r="X454" s="2438"/>
      <c r="Y454" s="2438"/>
      <c r="Z454" s="2438"/>
      <c r="AA454" s="2438"/>
      <c r="AB454" s="2438"/>
      <c r="AC454" s="2438"/>
      <c r="AD454" s="2438"/>
      <c r="AE454" s="2438"/>
      <c r="AL454" s="728"/>
      <c r="AM454" s="568"/>
      <c r="AN454" s="595"/>
    </row>
    <row r="455" spans="1:42" s="549" customFormat="1" ht="12.75" customHeight="1">
      <c r="A455" s="536"/>
      <c r="B455" s="14"/>
      <c r="C455" s="2462" t="s">
        <v>591</v>
      </c>
      <c r="D455" s="2409"/>
      <c r="E455" s="715"/>
      <c r="F455" s="594" t="s">
        <v>1477</v>
      </c>
      <c r="G455" s="672"/>
      <c r="H455" s="672"/>
      <c r="I455" s="672"/>
      <c r="J455" s="672"/>
      <c r="K455" s="672"/>
      <c r="L455" s="672"/>
      <c r="M455" s="672"/>
      <c r="N455" s="672"/>
      <c r="O455" s="672"/>
      <c r="P455" s="672"/>
      <c r="Q455" s="672"/>
      <c r="R455" s="672"/>
      <c r="S455" s="672"/>
      <c r="T455" s="672"/>
      <c r="U455" s="672"/>
      <c r="V455" s="672"/>
      <c r="W455" s="672"/>
      <c r="X455" s="672"/>
      <c r="Y455" s="672"/>
      <c r="Z455" s="672"/>
      <c r="AA455" s="672"/>
      <c r="AB455" s="672"/>
      <c r="AC455" s="672"/>
      <c r="AD455" s="672"/>
      <c r="AF455" s="2388" t="s">
        <v>1453</v>
      </c>
      <c r="AG455" s="2388"/>
      <c r="AH455" s="2388"/>
      <c r="AI455" s="2388"/>
      <c r="AJ455" s="2388"/>
      <c r="AK455" s="2388"/>
      <c r="AL455" s="2469"/>
      <c r="AM455" s="568"/>
      <c r="AN455" s="595"/>
    </row>
    <row r="456" spans="1:42" s="549" customFormat="1" ht="12.75" customHeight="1">
      <c r="A456" s="536"/>
      <c r="B456" s="14"/>
      <c r="C456" s="739"/>
      <c r="D456" s="723"/>
      <c r="E456" s="720"/>
      <c r="F456" s="737"/>
      <c r="G456" s="722"/>
      <c r="H456" s="722"/>
      <c r="I456" s="722"/>
      <c r="J456" s="722"/>
      <c r="K456" s="722"/>
      <c r="L456" s="722"/>
      <c r="M456" s="722"/>
      <c r="N456" s="722"/>
      <c r="O456" s="722"/>
      <c r="P456" s="722"/>
      <c r="Q456" s="722"/>
      <c r="R456" s="722"/>
      <c r="S456" s="722"/>
      <c r="T456" s="722"/>
      <c r="U456" s="722"/>
      <c r="V456" s="722"/>
      <c r="W456" s="722"/>
      <c r="X456" s="722"/>
      <c r="Y456" s="722"/>
      <c r="Z456" s="722"/>
      <c r="AA456" s="722"/>
      <c r="AB456" s="722"/>
      <c r="AC456" s="722"/>
      <c r="AD456" s="722"/>
      <c r="AE456" s="723"/>
      <c r="AF456" s="723"/>
      <c r="AG456" s="723"/>
      <c r="AH456" s="723"/>
      <c r="AI456" s="723"/>
      <c r="AJ456" s="723"/>
      <c r="AK456" s="723"/>
      <c r="AL456" s="738"/>
      <c r="AM456" s="568"/>
      <c r="AN456" s="595"/>
    </row>
    <row r="457" spans="1:42" s="549" customFormat="1" ht="12.75" customHeight="1">
      <c r="A457" s="536"/>
      <c r="B457" s="14"/>
      <c r="C457" s="726"/>
      <c r="D457" s="726"/>
      <c r="E457" s="715"/>
      <c r="F457" s="717"/>
      <c r="G457" s="601"/>
      <c r="H457" s="601"/>
      <c r="I457" s="601"/>
      <c r="J457" s="601"/>
      <c r="K457" s="601"/>
      <c r="L457" s="601"/>
      <c r="M457" s="601"/>
      <c r="N457" s="601"/>
      <c r="O457" s="601"/>
      <c r="P457" s="601"/>
      <c r="Q457" s="601"/>
      <c r="R457" s="601"/>
      <c r="S457" s="601"/>
      <c r="T457" s="601"/>
      <c r="U457" s="601"/>
      <c r="V457" s="601"/>
      <c r="W457" s="601"/>
      <c r="X457" s="601"/>
      <c r="Y457" s="601"/>
      <c r="Z457" s="601"/>
      <c r="AA457" s="601"/>
      <c r="AB457" s="601"/>
      <c r="AC457" s="601"/>
      <c r="AD457" s="601"/>
      <c r="AE457" s="589"/>
      <c r="AF457" s="589"/>
      <c r="AG457" s="589"/>
      <c r="AH457" s="589"/>
      <c r="AI457" s="589"/>
      <c r="AJ457" s="589"/>
      <c r="AK457" s="589"/>
      <c r="AL457" s="589"/>
      <c r="AM457" s="568"/>
      <c r="AN457" s="595"/>
    </row>
    <row r="458" spans="1:42" s="549" customFormat="1" ht="12.75" customHeight="1">
      <c r="A458" s="536"/>
      <c r="B458" s="14"/>
      <c r="C458" s="709"/>
      <c r="D458" s="710"/>
      <c r="E458" s="711" t="s">
        <v>1478</v>
      </c>
      <c r="F458" s="2437" t="s">
        <v>1479</v>
      </c>
      <c r="G458" s="2437"/>
      <c r="H458" s="2437"/>
      <c r="I458" s="2437"/>
      <c r="J458" s="2437"/>
      <c r="K458" s="2437"/>
      <c r="L458" s="2437"/>
      <c r="M458" s="2437"/>
      <c r="N458" s="2437"/>
      <c r="O458" s="2437"/>
      <c r="P458" s="2437"/>
      <c r="Q458" s="2437"/>
      <c r="R458" s="2437"/>
      <c r="S458" s="2437"/>
      <c r="T458" s="2437"/>
      <c r="U458" s="2437"/>
      <c r="V458" s="2437"/>
      <c r="W458" s="2437"/>
      <c r="X458" s="2437"/>
      <c r="Y458" s="2437"/>
      <c r="Z458" s="2437"/>
      <c r="AA458" s="2437"/>
      <c r="AB458" s="2437"/>
      <c r="AC458" s="2437"/>
      <c r="AD458" s="2437"/>
      <c r="AE458" s="2437"/>
      <c r="AF458" s="710"/>
      <c r="AG458" s="710"/>
      <c r="AH458" s="710"/>
      <c r="AI458" s="710"/>
      <c r="AJ458" s="710"/>
      <c r="AK458" s="710"/>
      <c r="AL458" s="741"/>
      <c r="AM458" s="568"/>
      <c r="AN458" s="595"/>
    </row>
    <row r="459" spans="1:42" s="549" customFormat="1" ht="12.75" customHeight="1">
      <c r="A459" s="536"/>
      <c r="B459" s="14"/>
      <c r="C459" s="747"/>
      <c r="D459" s="726"/>
      <c r="E459" s="715"/>
      <c r="F459" s="2438"/>
      <c r="G459" s="2438"/>
      <c r="H459" s="2438"/>
      <c r="I459" s="2438"/>
      <c r="J459" s="2438"/>
      <c r="K459" s="2438"/>
      <c r="L459" s="2438"/>
      <c r="M459" s="2438"/>
      <c r="N459" s="2438"/>
      <c r="O459" s="2438"/>
      <c r="P459" s="2438"/>
      <c r="Q459" s="2438"/>
      <c r="R459" s="2438"/>
      <c r="S459" s="2438"/>
      <c r="T459" s="2438"/>
      <c r="U459" s="2438"/>
      <c r="V459" s="2438"/>
      <c r="W459" s="2438"/>
      <c r="X459" s="2438"/>
      <c r="Y459" s="2438"/>
      <c r="Z459" s="2438"/>
      <c r="AA459" s="2438"/>
      <c r="AB459" s="2438"/>
      <c r="AC459" s="2438"/>
      <c r="AD459" s="2438"/>
      <c r="AE459" s="2438"/>
      <c r="AF459" s="589"/>
      <c r="AG459" s="589"/>
      <c r="AH459" s="589"/>
      <c r="AI459" s="589"/>
      <c r="AJ459" s="589"/>
      <c r="AK459" s="589"/>
      <c r="AL459" s="716"/>
      <c r="AM459" s="568"/>
      <c r="AN459" s="595"/>
    </row>
    <row r="460" spans="1:42" s="549" customFormat="1" ht="12.75" customHeight="1">
      <c r="A460" s="536"/>
      <c r="B460" s="14"/>
      <c r="C460" s="747"/>
      <c r="D460" s="726"/>
      <c r="E460" s="715"/>
      <c r="F460" s="2438"/>
      <c r="G460" s="2438"/>
      <c r="H460" s="2438"/>
      <c r="I460" s="2438"/>
      <c r="J460" s="2438"/>
      <c r="K460" s="2438"/>
      <c r="L460" s="2438"/>
      <c r="M460" s="2438"/>
      <c r="N460" s="2438"/>
      <c r="O460" s="2438"/>
      <c r="P460" s="2438"/>
      <c r="Q460" s="2438"/>
      <c r="R460" s="2438"/>
      <c r="S460" s="2438"/>
      <c r="T460" s="2438"/>
      <c r="U460" s="2438"/>
      <c r="V460" s="2438"/>
      <c r="W460" s="2438"/>
      <c r="X460" s="2438"/>
      <c r="Y460" s="2438"/>
      <c r="Z460" s="2438"/>
      <c r="AA460" s="2438"/>
      <c r="AB460" s="2438"/>
      <c r="AC460" s="2438"/>
      <c r="AD460" s="2438"/>
      <c r="AE460" s="2438"/>
      <c r="AF460" s="589"/>
      <c r="AG460" s="589"/>
      <c r="AH460" s="589"/>
      <c r="AI460" s="589"/>
      <c r="AJ460" s="589"/>
      <c r="AK460" s="589"/>
      <c r="AL460" s="716"/>
      <c r="AM460" s="568"/>
      <c r="AN460" s="595"/>
    </row>
    <row r="461" spans="1:42" s="549" customFormat="1" ht="12.75" customHeight="1">
      <c r="A461" s="536"/>
      <c r="B461" s="14"/>
      <c r="C461" s="747"/>
      <c r="D461" s="726"/>
      <c r="E461" s="715"/>
      <c r="F461" s="2438"/>
      <c r="G461" s="2438"/>
      <c r="H461" s="2438"/>
      <c r="I461" s="2438"/>
      <c r="J461" s="2438"/>
      <c r="K461" s="2438"/>
      <c r="L461" s="2438"/>
      <c r="M461" s="2438"/>
      <c r="N461" s="2438"/>
      <c r="O461" s="2438"/>
      <c r="P461" s="2438"/>
      <c r="Q461" s="2438"/>
      <c r="R461" s="2438"/>
      <c r="S461" s="2438"/>
      <c r="T461" s="2438"/>
      <c r="U461" s="2438"/>
      <c r="V461" s="2438"/>
      <c r="W461" s="2438"/>
      <c r="X461" s="2438"/>
      <c r="Y461" s="2438"/>
      <c r="Z461" s="2438"/>
      <c r="AA461" s="2438"/>
      <c r="AB461" s="2438"/>
      <c r="AC461" s="2438"/>
      <c r="AD461" s="2438"/>
      <c r="AE461" s="2438"/>
      <c r="AL461" s="728"/>
      <c r="AM461" s="568"/>
      <c r="AN461" s="595"/>
    </row>
    <row r="462" spans="1:42" s="549" customFormat="1" ht="12.75" customHeight="1">
      <c r="A462" s="536"/>
      <c r="B462" s="14"/>
      <c r="C462" s="2462" t="s">
        <v>591</v>
      </c>
      <c r="D462" s="2409"/>
      <c r="E462" s="715"/>
      <c r="F462" s="717" t="s">
        <v>1483</v>
      </c>
      <c r="G462" s="601"/>
      <c r="H462" s="601"/>
      <c r="I462" s="601"/>
      <c r="J462" s="601"/>
      <c r="K462" s="601"/>
      <c r="L462" s="601"/>
      <c r="M462" s="601"/>
      <c r="N462" s="601"/>
      <c r="O462" s="601"/>
      <c r="P462" s="601"/>
      <c r="Q462" s="601"/>
      <c r="R462" s="601"/>
      <c r="S462" s="601"/>
      <c r="T462" s="601"/>
      <c r="U462" s="601"/>
      <c r="V462" s="601"/>
      <c r="W462" s="601"/>
      <c r="X462" s="601"/>
      <c r="Y462" s="601"/>
      <c r="Z462" s="601"/>
      <c r="AA462" s="601"/>
      <c r="AB462" s="601"/>
      <c r="AC462" s="601"/>
      <c r="AD462" s="601"/>
      <c r="AF462" s="2388" t="s">
        <v>1453</v>
      </c>
      <c r="AG462" s="2388"/>
      <c r="AH462" s="2388"/>
      <c r="AI462" s="2388"/>
      <c r="AJ462" s="2388"/>
      <c r="AK462" s="2388"/>
      <c r="AL462" s="2469"/>
      <c r="AM462" s="568"/>
      <c r="AN462" s="749"/>
    </row>
    <row r="463" spans="1:42" s="549" customFormat="1" ht="12.75" customHeight="1">
      <c r="A463" s="536"/>
      <c r="B463" s="14"/>
      <c r="C463" s="747"/>
      <c r="D463" s="726"/>
      <c r="E463" s="715"/>
      <c r="F463" s="717"/>
      <c r="G463" s="601"/>
      <c r="H463" s="601"/>
      <c r="I463" s="601"/>
      <c r="J463" s="601"/>
      <c r="K463" s="601"/>
      <c r="L463" s="601"/>
      <c r="M463" s="601"/>
      <c r="N463" s="601"/>
      <c r="O463" s="601"/>
      <c r="P463" s="601"/>
      <c r="Q463" s="601"/>
      <c r="R463" s="601"/>
      <c r="S463" s="601"/>
      <c r="T463" s="601"/>
      <c r="U463" s="601"/>
      <c r="V463" s="601"/>
      <c r="W463" s="601"/>
      <c r="X463" s="601"/>
      <c r="Y463" s="601"/>
      <c r="Z463" s="601"/>
      <c r="AA463" s="601"/>
      <c r="AB463" s="601"/>
      <c r="AC463" s="601"/>
      <c r="AD463" s="601"/>
      <c r="AE463" s="589"/>
      <c r="AL463" s="728"/>
      <c r="AM463" s="568"/>
      <c r="AN463" s="749"/>
    </row>
    <row r="464" spans="1:42" s="549" customFormat="1" ht="12.75" customHeight="1">
      <c r="A464" s="536"/>
      <c r="B464" s="14"/>
      <c r="C464" s="736"/>
      <c r="D464" s="729"/>
      <c r="E464" s="730"/>
      <c r="F464" s="723" t="s">
        <v>1460</v>
      </c>
      <c r="G464" s="731"/>
      <c r="H464" s="731"/>
      <c r="I464" s="731"/>
      <c r="J464" s="731"/>
      <c r="K464" s="731"/>
      <c r="L464" s="731"/>
      <c r="M464" s="731"/>
      <c r="N464" s="731"/>
      <c r="O464" s="731"/>
      <c r="P464" s="731"/>
      <c r="Q464" s="731"/>
      <c r="R464" s="731"/>
      <c r="S464" s="731"/>
      <c r="T464" s="731"/>
      <c r="U464" s="731"/>
      <c r="V464" s="731"/>
      <c r="W464" s="731"/>
      <c r="X464" s="731"/>
      <c r="Y464" s="731"/>
      <c r="Z464" s="731"/>
      <c r="AA464" s="731"/>
      <c r="AB464" s="731"/>
      <c r="AC464" s="731"/>
      <c r="AD464" s="731"/>
      <c r="AE464" s="733"/>
      <c r="AF464" s="581"/>
      <c r="AG464" s="733"/>
      <c r="AH464" s="723"/>
      <c r="AI464" s="723"/>
      <c r="AJ464" s="723"/>
      <c r="AK464" s="723"/>
      <c r="AL464" s="738"/>
      <c r="AM464" s="568"/>
      <c r="AN464" s="749"/>
    </row>
    <row r="465" spans="1:40" s="549" customFormat="1" ht="12.75" customHeight="1">
      <c r="A465" s="536"/>
      <c r="B465" s="14"/>
      <c r="C465" s="726"/>
      <c r="D465" s="726"/>
      <c r="E465" s="715"/>
      <c r="F465" s="717"/>
      <c r="G465" s="601"/>
      <c r="H465" s="601"/>
      <c r="I465" s="601"/>
      <c r="J465" s="601"/>
      <c r="K465" s="601"/>
      <c r="L465" s="601"/>
      <c r="M465" s="601"/>
      <c r="N465" s="601"/>
      <c r="O465" s="601"/>
      <c r="P465" s="601"/>
      <c r="Q465" s="601"/>
      <c r="R465" s="601"/>
      <c r="S465" s="601"/>
      <c r="T465" s="601"/>
      <c r="U465" s="601"/>
      <c r="V465" s="601"/>
      <c r="W465" s="601"/>
      <c r="X465" s="601"/>
      <c r="Y465" s="601"/>
      <c r="Z465" s="601"/>
      <c r="AA465" s="601"/>
      <c r="AB465" s="601"/>
      <c r="AC465" s="601"/>
      <c r="AD465" s="601"/>
      <c r="AE465" s="589"/>
      <c r="AM465" s="568"/>
      <c r="AN465" s="749"/>
    </row>
    <row r="466" spans="1:40" s="549" customFormat="1" ht="12.75" customHeight="1">
      <c r="A466" s="536"/>
      <c r="B466" s="14"/>
      <c r="C466" s="2547" t="s">
        <v>591</v>
      </c>
      <c r="D466" s="2548"/>
      <c r="E466" s="711" t="s">
        <v>1488</v>
      </c>
      <c r="F466" s="2437" t="s">
        <v>1489</v>
      </c>
      <c r="G466" s="2437"/>
      <c r="H466" s="2437"/>
      <c r="I466" s="2437"/>
      <c r="J466" s="2437"/>
      <c r="K466" s="2437"/>
      <c r="L466" s="2437"/>
      <c r="M466" s="2437"/>
      <c r="N466" s="2437"/>
      <c r="O466" s="2437"/>
      <c r="P466" s="2437"/>
      <c r="Q466" s="2437"/>
      <c r="R466" s="2437"/>
      <c r="S466" s="2437"/>
      <c r="T466" s="2437"/>
      <c r="U466" s="2437"/>
      <c r="V466" s="2437"/>
      <c r="W466" s="2437"/>
      <c r="X466" s="2437"/>
      <c r="Y466" s="2437"/>
      <c r="Z466" s="2437"/>
      <c r="AA466" s="2437"/>
      <c r="AB466" s="2437"/>
      <c r="AC466" s="2437"/>
      <c r="AD466" s="2437"/>
      <c r="AE466" s="2437"/>
      <c r="AF466" s="2465" t="s">
        <v>1453</v>
      </c>
      <c r="AG466" s="2465"/>
      <c r="AH466" s="2465"/>
      <c r="AI466" s="2465"/>
      <c r="AJ466" s="2465"/>
      <c r="AK466" s="2465"/>
      <c r="AL466" s="2466"/>
      <c r="AM466" s="568"/>
      <c r="AN466" s="749"/>
    </row>
    <row r="467" spans="1:40" s="549" customFormat="1" ht="12.75" customHeight="1">
      <c r="A467" s="536"/>
      <c r="B467" s="14"/>
      <c r="C467" s="747"/>
      <c r="D467" s="726"/>
      <c r="E467" s="715"/>
      <c r="F467" s="2438"/>
      <c r="G467" s="2438"/>
      <c r="H467" s="2438"/>
      <c r="I467" s="2438"/>
      <c r="J467" s="2438"/>
      <c r="K467" s="2438"/>
      <c r="L467" s="2438"/>
      <c r="M467" s="2438"/>
      <c r="N467" s="2438"/>
      <c r="O467" s="2438"/>
      <c r="P467" s="2438"/>
      <c r="Q467" s="2438"/>
      <c r="R467" s="2438"/>
      <c r="S467" s="2438"/>
      <c r="T467" s="2438"/>
      <c r="U467" s="2438"/>
      <c r="V467" s="2438"/>
      <c r="W467" s="2438"/>
      <c r="X467" s="2438"/>
      <c r="Y467" s="2438"/>
      <c r="Z467" s="2438"/>
      <c r="AA467" s="2438"/>
      <c r="AB467" s="2438"/>
      <c r="AC467" s="2438"/>
      <c r="AD467" s="2438"/>
      <c r="AE467" s="2438"/>
      <c r="AF467" s="589"/>
      <c r="AG467" s="589"/>
      <c r="AH467" s="589"/>
      <c r="AI467" s="589"/>
      <c r="AJ467" s="589"/>
      <c r="AK467" s="589"/>
      <c r="AL467" s="716"/>
      <c r="AM467" s="568"/>
      <c r="AN467" s="750"/>
    </row>
    <row r="468" spans="1:40" s="549" customFormat="1" ht="17.649999999999999" customHeight="1">
      <c r="A468" s="536"/>
      <c r="B468" s="14"/>
      <c r="C468" s="752"/>
      <c r="D468" s="719"/>
      <c r="E468" s="720"/>
      <c r="F468" s="2439"/>
      <c r="G468" s="2439"/>
      <c r="H468" s="2439"/>
      <c r="I468" s="2439"/>
      <c r="J468" s="2439"/>
      <c r="K468" s="2439"/>
      <c r="L468" s="2439"/>
      <c r="M468" s="2439"/>
      <c r="N468" s="2439"/>
      <c r="O468" s="2439"/>
      <c r="P468" s="2439"/>
      <c r="Q468" s="2439"/>
      <c r="R468" s="2439"/>
      <c r="S468" s="2439"/>
      <c r="T468" s="2439"/>
      <c r="U468" s="2439"/>
      <c r="V468" s="2439"/>
      <c r="W468" s="2439"/>
      <c r="X468" s="2439"/>
      <c r="Y468" s="2439"/>
      <c r="Z468" s="2439"/>
      <c r="AA468" s="2439"/>
      <c r="AB468" s="2439"/>
      <c r="AC468" s="2439"/>
      <c r="AD468" s="2439"/>
      <c r="AE468" s="2439"/>
      <c r="AF468" s="724"/>
      <c r="AG468" s="724"/>
      <c r="AH468" s="724"/>
      <c r="AI468" s="724"/>
      <c r="AJ468" s="724"/>
      <c r="AK468" s="724"/>
      <c r="AL468" s="753"/>
      <c r="AM468" s="568"/>
      <c r="AN468" s="535"/>
    </row>
    <row r="469" spans="1:40" s="549" customFormat="1" ht="12.75" customHeight="1">
      <c r="A469" s="536"/>
      <c r="B469" s="14"/>
      <c r="C469" s="726"/>
      <c r="D469" s="726"/>
      <c r="E469" s="715"/>
      <c r="F469" s="717"/>
      <c r="G469" s="601"/>
      <c r="H469" s="601"/>
      <c r="I469" s="601"/>
      <c r="J469" s="601"/>
      <c r="K469" s="601"/>
      <c r="L469" s="601"/>
      <c r="M469" s="601"/>
      <c r="N469" s="601"/>
      <c r="O469" s="601"/>
      <c r="P469" s="601"/>
      <c r="Q469" s="601"/>
      <c r="R469" s="601"/>
      <c r="S469" s="601"/>
      <c r="T469" s="601"/>
      <c r="U469" s="601"/>
      <c r="V469" s="601"/>
      <c r="W469" s="601"/>
      <c r="X469" s="601"/>
      <c r="Y469" s="601"/>
      <c r="Z469" s="601"/>
      <c r="AA469" s="601"/>
      <c r="AB469" s="601"/>
      <c r="AC469" s="601"/>
      <c r="AD469" s="601"/>
      <c r="AE469" s="589"/>
      <c r="AM469" s="568"/>
      <c r="AN469" s="535"/>
    </row>
    <row r="470" spans="1:40" s="549" customFormat="1" ht="12.75" customHeight="1">
      <c r="A470" s="536"/>
      <c r="B470" s="14"/>
      <c r="C470" s="2462" t="s">
        <v>591</v>
      </c>
      <c r="D470" s="2409"/>
      <c r="E470" s="711" t="s">
        <v>1494</v>
      </c>
      <c r="F470" s="2437" t="s">
        <v>1495</v>
      </c>
      <c r="G470" s="2437"/>
      <c r="H470" s="2437"/>
      <c r="I470" s="2437"/>
      <c r="J470" s="2437"/>
      <c r="K470" s="2437"/>
      <c r="L470" s="2437"/>
      <c r="M470" s="2437"/>
      <c r="N470" s="2437"/>
      <c r="O470" s="2437"/>
      <c r="P470" s="2437"/>
      <c r="Q470" s="2437"/>
      <c r="R470" s="2437"/>
      <c r="S470" s="2437"/>
      <c r="T470" s="2437"/>
      <c r="U470" s="2437"/>
      <c r="V470" s="2437"/>
      <c r="W470" s="2437"/>
      <c r="X470" s="2437"/>
      <c r="Y470" s="2437"/>
      <c r="Z470" s="2437"/>
      <c r="AA470" s="2437"/>
      <c r="AB470" s="2437"/>
      <c r="AC470" s="2437"/>
      <c r="AD470" s="2437"/>
      <c r="AE470" s="2437"/>
      <c r="AF470" s="2465" t="s">
        <v>1453</v>
      </c>
      <c r="AG470" s="2465"/>
      <c r="AH470" s="2465"/>
      <c r="AI470" s="2465"/>
      <c r="AJ470" s="2465"/>
      <c r="AK470" s="2465"/>
      <c r="AL470" s="2466"/>
      <c r="AM470" s="568"/>
      <c r="AN470" s="535"/>
    </row>
    <row r="471" spans="1:40" s="549" customFormat="1" ht="12.75" customHeight="1">
      <c r="A471" s="536"/>
      <c r="B471" s="14"/>
      <c r="C471" s="727"/>
      <c r="D471" s="14"/>
      <c r="E471" s="687"/>
      <c r="F471" s="2438"/>
      <c r="G471" s="2438"/>
      <c r="H471" s="2438"/>
      <c r="I471" s="2438"/>
      <c r="J471" s="2438"/>
      <c r="K471" s="2438"/>
      <c r="L471" s="2438"/>
      <c r="M471" s="2438"/>
      <c r="N471" s="2438"/>
      <c r="O471" s="2438"/>
      <c r="P471" s="2438"/>
      <c r="Q471" s="2438"/>
      <c r="R471" s="2438"/>
      <c r="S471" s="2438"/>
      <c r="T471" s="2438"/>
      <c r="U471" s="2438"/>
      <c r="V471" s="2438"/>
      <c r="W471" s="2438"/>
      <c r="X471" s="2438"/>
      <c r="Y471" s="2438"/>
      <c r="Z471" s="2438"/>
      <c r="AA471" s="2438"/>
      <c r="AB471" s="2438"/>
      <c r="AC471" s="2438"/>
      <c r="AD471" s="2438"/>
      <c r="AE471" s="2438"/>
      <c r="AF471" s="539"/>
      <c r="AG471" s="536"/>
      <c r="AL471" s="728"/>
      <c r="AM471" s="568"/>
      <c r="AN471" s="535"/>
    </row>
    <row r="472" spans="1:40" s="549" customFormat="1" ht="12.75" customHeight="1">
      <c r="A472" s="536"/>
      <c r="B472" s="14"/>
      <c r="C472" s="727"/>
      <c r="D472" s="14"/>
      <c r="E472" s="687"/>
      <c r="F472" s="2438"/>
      <c r="G472" s="2438"/>
      <c r="H472" s="2438"/>
      <c r="I472" s="2438"/>
      <c r="J472" s="2438"/>
      <c r="K472" s="2438"/>
      <c r="L472" s="2438"/>
      <c r="M472" s="2438"/>
      <c r="N472" s="2438"/>
      <c r="O472" s="2438"/>
      <c r="P472" s="2438"/>
      <c r="Q472" s="2438"/>
      <c r="R472" s="2438"/>
      <c r="S472" s="2438"/>
      <c r="T472" s="2438"/>
      <c r="U472" s="2438"/>
      <c r="V472" s="2438"/>
      <c r="W472" s="2438"/>
      <c r="X472" s="2438"/>
      <c r="Y472" s="2438"/>
      <c r="Z472" s="2438"/>
      <c r="AA472" s="2438"/>
      <c r="AB472" s="2438"/>
      <c r="AC472" s="2438"/>
      <c r="AD472" s="2438"/>
      <c r="AE472" s="2438"/>
      <c r="AF472" s="539"/>
      <c r="AG472" s="536"/>
      <c r="AL472" s="728"/>
      <c r="AM472" s="568"/>
      <c r="AN472" s="535"/>
    </row>
    <row r="473" spans="1:40" s="549" customFormat="1" ht="12.75" customHeight="1">
      <c r="A473" s="536"/>
      <c r="B473" s="14"/>
      <c r="C473" s="752"/>
      <c r="D473" s="719"/>
      <c r="E473" s="720"/>
      <c r="F473" s="2439"/>
      <c r="G473" s="2439"/>
      <c r="H473" s="2439"/>
      <c r="I473" s="2439"/>
      <c r="J473" s="2439"/>
      <c r="K473" s="2439"/>
      <c r="L473" s="2439"/>
      <c r="M473" s="2439"/>
      <c r="N473" s="2439"/>
      <c r="O473" s="2439"/>
      <c r="P473" s="2439"/>
      <c r="Q473" s="2439"/>
      <c r="R473" s="2439"/>
      <c r="S473" s="2439"/>
      <c r="T473" s="2439"/>
      <c r="U473" s="2439"/>
      <c r="V473" s="2439"/>
      <c r="W473" s="2439"/>
      <c r="X473" s="2439"/>
      <c r="Y473" s="2439"/>
      <c r="Z473" s="2439"/>
      <c r="AA473" s="2439"/>
      <c r="AB473" s="2439"/>
      <c r="AC473" s="2439"/>
      <c r="AD473" s="2439"/>
      <c r="AE473" s="2439"/>
      <c r="AF473" s="724"/>
      <c r="AG473" s="724"/>
      <c r="AH473" s="724"/>
      <c r="AI473" s="724"/>
      <c r="AJ473" s="724"/>
      <c r="AK473" s="724"/>
      <c r="AL473" s="753"/>
      <c r="AM473" s="568"/>
      <c r="AN473" s="595"/>
    </row>
    <row r="474" spans="1:40" s="549" customFormat="1" ht="12.75" customHeight="1">
      <c r="A474" s="536"/>
      <c r="B474" s="14"/>
      <c r="G474" s="601"/>
      <c r="H474" s="601"/>
      <c r="I474" s="601"/>
      <c r="J474" s="601"/>
      <c r="K474" s="601"/>
      <c r="L474" s="601"/>
      <c r="M474" s="601"/>
      <c r="N474" s="601"/>
      <c r="O474" s="601"/>
      <c r="P474" s="601"/>
      <c r="Q474" s="601"/>
      <c r="R474" s="601"/>
      <c r="S474" s="601"/>
      <c r="T474" s="601"/>
      <c r="U474" s="601"/>
      <c r="V474" s="601"/>
      <c r="W474" s="601"/>
      <c r="X474" s="601"/>
      <c r="Y474" s="601"/>
      <c r="Z474" s="601"/>
      <c r="AA474" s="601"/>
      <c r="AB474" s="601"/>
      <c r="AC474" s="601"/>
      <c r="AD474" s="601"/>
      <c r="AM474" s="568"/>
      <c r="AN474" s="595"/>
    </row>
    <row r="475" spans="1:40" s="549" customFormat="1" ht="12.75" customHeight="1">
      <c r="A475" s="536"/>
      <c r="B475" s="14"/>
      <c r="C475" s="709"/>
      <c r="D475" s="710"/>
      <c r="E475" s="711" t="s">
        <v>1497</v>
      </c>
      <c r="F475" s="2437" t="s">
        <v>1498</v>
      </c>
      <c r="G475" s="2437"/>
      <c r="H475" s="2437"/>
      <c r="I475" s="2437"/>
      <c r="J475" s="2437"/>
      <c r="K475" s="2437"/>
      <c r="L475" s="2437"/>
      <c r="M475" s="2437"/>
      <c r="N475" s="2437"/>
      <c r="O475" s="2437"/>
      <c r="P475" s="2437"/>
      <c r="Q475" s="2437"/>
      <c r="R475" s="2437"/>
      <c r="S475" s="2437"/>
      <c r="T475" s="2437"/>
      <c r="U475" s="2437"/>
      <c r="V475" s="2437"/>
      <c r="W475" s="2437"/>
      <c r="X475" s="2437"/>
      <c r="Y475" s="2437"/>
      <c r="Z475" s="2437"/>
      <c r="AA475" s="2437"/>
      <c r="AB475" s="2437"/>
      <c r="AC475" s="2437"/>
      <c r="AD475" s="2437"/>
      <c r="AE475" s="2437"/>
      <c r="AF475" s="2437"/>
      <c r="AG475" s="740"/>
      <c r="AH475" s="710"/>
      <c r="AI475" s="710"/>
      <c r="AJ475" s="710"/>
      <c r="AK475" s="710"/>
      <c r="AL475" s="741"/>
      <c r="AM475" s="568"/>
      <c r="AN475" s="595"/>
    </row>
    <row r="476" spans="1:40" s="549" customFormat="1" ht="12.75" customHeight="1">
      <c r="A476" s="536"/>
      <c r="B476" s="14"/>
      <c r="C476" s="727"/>
      <c r="D476" s="14"/>
      <c r="E476" s="687"/>
      <c r="F476" s="2438"/>
      <c r="G476" s="2438"/>
      <c r="H476" s="2438"/>
      <c r="I476" s="2438"/>
      <c r="J476" s="2438"/>
      <c r="K476" s="2438"/>
      <c r="L476" s="2438"/>
      <c r="M476" s="2438"/>
      <c r="N476" s="2438"/>
      <c r="O476" s="2438"/>
      <c r="P476" s="2438"/>
      <c r="Q476" s="2438"/>
      <c r="R476" s="2438"/>
      <c r="S476" s="2438"/>
      <c r="T476" s="2438"/>
      <c r="U476" s="2438"/>
      <c r="V476" s="2438"/>
      <c r="W476" s="2438"/>
      <c r="X476" s="2438"/>
      <c r="Y476" s="2438"/>
      <c r="Z476" s="2438"/>
      <c r="AA476" s="2438"/>
      <c r="AB476" s="2438"/>
      <c r="AC476" s="2438"/>
      <c r="AD476" s="2438"/>
      <c r="AE476" s="2438"/>
      <c r="AF476" s="2438"/>
      <c r="AL476" s="728"/>
      <c r="AM476" s="568"/>
      <c r="AN476" s="595"/>
    </row>
    <row r="477" spans="1:40" s="549" customFormat="1" ht="12.75" customHeight="1">
      <c r="A477" s="536"/>
      <c r="B477" s="14"/>
      <c r="C477" s="735"/>
      <c r="F477" s="2438"/>
      <c r="G477" s="2438"/>
      <c r="H477" s="2438"/>
      <c r="I477" s="2438"/>
      <c r="J477" s="2438"/>
      <c r="K477" s="2438"/>
      <c r="L477" s="2438"/>
      <c r="M477" s="2438"/>
      <c r="N477" s="2438"/>
      <c r="O477" s="2438"/>
      <c r="P477" s="2438"/>
      <c r="Q477" s="2438"/>
      <c r="R477" s="2438"/>
      <c r="S477" s="2438"/>
      <c r="T477" s="2438"/>
      <c r="U477" s="2438"/>
      <c r="V477" s="2438"/>
      <c r="W477" s="2438"/>
      <c r="X477" s="2438"/>
      <c r="Y477" s="2438"/>
      <c r="Z477" s="2438"/>
      <c r="AA477" s="2438"/>
      <c r="AB477" s="2438"/>
      <c r="AC477" s="2438"/>
      <c r="AD477" s="2438"/>
      <c r="AE477" s="2438"/>
      <c r="AF477" s="2438"/>
      <c r="AL477" s="728"/>
      <c r="AM477" s="568"/>
      <c r="AN477" s="595"/>
    </row>
    <row r="478" spans="1:40" s="549" customFormat="1" ht="12.75" customHeight="1">
      <c r="A478" s="536"/>
      <c r="B478" s="14"/>
      <c r="C478" s="735"/>
      <c r="F478" s="2438"/>
      <c r="G478" s="2438"/>
      <c r="H478" s="2438"/>
      <c r="I478" s="2438"/>
      <c r="J478" s="2438"/>
      <c r="K478" s="2438"/>
      <c r="L478" s="2438"/>
      <c r="M478" s="2438"/>
      <c r="N478" s="2438"/>
      <c r="O478" s="2438"/>
      <c r="P478" s="2438"/>
      <c r="Q478" s="2438"/>
      <c r="R478" s="2438"/>
      <c r="S478" s="2438"/>
      <c r="T478" s="2438"/>
      <c r="U478" s="2438"/>
      <c r="V478" s="2438"/>
      <c r="W478" s="2438"/>
      <c r="X478" s="2438"/>
      <c r="Y478" s="2438"/>
      <c r="Z478" s="2438"/>
      <c r="AA478" s="2438"/>
      <c r="AB478" s="2438"/>
      <c r="AC478" s="2438"/>
      <c r="AD478" s="2438"/>
      <c r="AE478" s="2438"/>
      <c r="AF478" s="2438"/>
      <c r="AL478" s="728"/>
      <c r="AM478" s="568"/>
      <c r="AN478" s="595"/>
    </row>
    <row r="479" spans="1:40" s="549" customFormat="1" ht="12.75" customHeight="1">
      <c r="A479" s="536"/>
      <c r="B479" s="14"/>
      <c r="C479" s="2462" t="s">
        <v>591</v>
      </c>
      <c r="D479" s="2409"/>
      <c r="E479" s="715"/>
      <c r="F479" s="717" t="s">
        <v>1470</v>
      </c>
      <c r="G479" s="601"/>
      <c r="H479" s="601"/>
      <c r="I479" s="601"/>
      <c r="J479" s="601"/>
      <c r="K479" s="601"/>
      <c r="L479" s="601"/>
      <c r="M479" s="601"/>
      <c r="N479" s="601"/>
      <c r="O479" s="601"/>
      <c r="P479" s="601"/>
      <c r="Q479" s="601"/>
      <c r="R479" s="601"/>
      <c r="S479" s="601"/>
      <c r="T479" s="601"/>
      <c r="U479" s="601"/>
      <c r="V479" s="601"/>
      <c r="W479" s="601"/>
      <c r="X479" s="601"/>
      <c r="Y479" s="601"/>
      <c r="Z479" s="601"/>
      <c r="AA479" s="601"/>
      <c r="AB479" s="601"/>
      <c r="AC479" s="601"/>
      <c r="AD479" s="601"/>
      <c r="AF479" s="2463" t="s">
        <v>1453</v>
      </c>
      <c r="AG479" s="2463"/>
      <c r="AH479" s="2463"/>
      <c r="AI479" s="2463"/>
      <c r="AJ479" s="2463"/>
      <c r="AK479" s="2463"/>
      <c r="AL479" s="2464"/>
      <c r="AM479" s="568"/>
      <c r="AN479" s="595"/>
    </row>
    <row r="480" spans="1:40" s="549" customFormat="1" ht="12.75" customHeight="1">
      <c r="A480" s="536"/>
      <c r="B480" s="14"/>
      <c r="C480" s="736"/>
      <c r="D480" s="729"/>
      <c r="E480" s="730"/>
      <c r="F480" s="723"/>
      <c r="G480" s="723"/>
      <c r="H480" s="723"/>
      <c r="I480" s="723"/>
      <c r="J480" s="723"/>
      <c r="K480" s="723"/>
      <c r="L480" s="723"/>
      <c r="M480" s="723"/>
      <c r="N480" s="723"/>
      <c r="O480" s="723"/>
      <c r="P480" s="723"/>
      <c r="Q480" s="723"/>
      <c r="R480" s="723"/>
      <c r="S480" s="723"/>
      <c r="T480" s="723"/>
      <c r="U480" s="723"/>
      <c r="V480" s="723"/>
      <c r="W480" s="723"/>
      <c r="X480" s="723"/>
      <c r="Y480" s="723"/>
      <c r="Z480" s="723"/>
      <c r="AA480" s="723"/>
      <c r="AB480" s="723"/>
      <c r="AC480" s="723"/>
      <c r="AD480" s="723"/>
      <c r="AE480" s="723"/>
      <c r="AF480" s="723"/>
      <c r="AG480" s="723"/>
      <c r="AH480" s="723"/>
      <c r="AI480" s="723"/>
      <c r="AJ480" s="723"/>
      <c r="AK480" s="723"/>
      <c r="AL480" s="738"/>
      <c r="AN480" s="595"/>
    </row>
    <row r="481" spans="1:59" s="549" customFormat="1" ht="12.75" customHeight="1">
      <c r="A481" s="536"/>
      <c r="B481" s="14"/>
      <c r="C481" s="1011"/>
      <c r="D481" s="568"/>
      <c r="F481" s="717"/>
      <c r="G481" s="601"/>
      <c r="H481" s="601"/>
      <c r="I481" s="601"/>
      <c r="J481" s="601"/>
      <c r="K481" s="601"/>
      <c r="L481" s="601"/>
      <c r="M481" s="601"/>
      <c r="N481" s="601"/>
      <c r="O481" s="601"/>
      <c r="P481" s="601"/>
      <c r="Q481" s="601"/>
      <c r="R481" s="601"/>
      <c r="S481" s="601"/>
      <c r="T481" s="601"/>
      <c r="U481" s="601"/>
      <c r="V481" s="601"/>
      <c r="W481" s="601"/>
      <c r="X481" s="601"/>
      <c r="Y481" s="601"/>
      <c r="Z481" s="601"/>
      <c r="AA481" s="601"/>
      <c r="AB481" s="601"/>
      <c r="AC481" s="601"/>
      <c r="AD481" s="601"/>
      <c r="AF481" s="611"/>
      <c r="AG481" s="611"/>
      <c r="AH481" s="611"/>
      <c r="AI481" s="611"/>
      <c r="AJ481" s="611"/>
      <c r="AK481" s="611"/>
      <c r="AL481" s="611"/>
      <c r="AN481" s="595"/>
    </row>
    <row r="482" spans="1:59" s="549" customFormat="1" ht="12.75" customHeight="1">
      <c r="A482" s="598"/>
      <c r="B482" s="853" t="s">
        <v>1499</v>
      </c>
      <c r="D482" s="673"/>
      <c r="E482" s="599"/>
      <c r="F482" s="599"/>
      <c r="G482" s="599"/>
      <c r="H482" s="599"/>
      <c r="I482" s="599"/>
      <c r="J482" s="599"/>
      <c r="K482" s="599"/>
      <c r="L482" s="599"/>
      <c r="M482" s="599"/>
      <c r="N482" s="599"/>
      <c r="O482" s="599"/>
      <c r="P482" s="599"/>
      <c r="Q482" s="599"/>
      <c r="R482" s="599"/>
      <c r="S482" s="599"/>
      <c r="T482" s="599"/>
      <c r="U482" s="599"/>
      <c r="V482" s="599"/>
      <c r="W482" s="599"/>
      <c r="X482" s="599"/>
      <c r="Y482" s="599"/>
      <c r="Z482" s="599"/>
      <c r="AA482" s="599"/>
      <c r="AB482" s="599"/>
      <c r="AC482" s="599"/>
      <c r="AD482" s="599"/>
      <c r="AE482" s="562"/>
      <c r="AF482" s="562"/>
      <c r="AG482" s="562"/>
      <c r="AH482" s="562"/>
      <c r="AI482" s="563"/>
      <c r="AJ482" s="563" t="s">
        <v>1500</v>
      </c>
      <c r="AK482" s="2390">
        <f>IF(Application!D214="N/A",AS371,AS373)</f>
        <v>10</v>
      </c>
      <c r="AL482" s="2436"/>
      <c r="AM482" s="2391"/>
      <c r="AN482" s="595"/>
    </row>
    <row r="483" spans="1:59" s="549" customFormat="1" ht="12.75" customHeight="1" thickBot="1">
      <c r="A483" s="755"/>
      <c r="B483" s="755"/>
      <c r="C483" s="755"/>
      <c r="D483" s="755"/>
      <c r="E483" s="755"/>
      <c r="F483" s="755"/>
      <c r="G483" s="755"/>
      <c r="H483" s="755"/>
      <c r="I483" s="755"/>
      <c r="J483" s="755"/>
      <c r="K483" s="755"/>
      <c r="L483" s="755"/>
      <c r="M483" s="755"/>
      <c r="N483" s="755"/>
      <c r="O483" s="755"/>
      <c r="P483" s="755"/>
      <c r="Q483" s="755"/>
      <c r="R483" s="755"/>
      <c r="S483" s="755"/>
      <c r="T483" s="755"/>
      <c r="U483" s="755"/>
      <c r="V483" s="755"/>
      <c r="W483" s="755"/>
      <c r="X483" s="755"/>
      <c r="Y483" s="755"/>
      <c r="Z483" s="755"/>
      <c r="AA483" s="755"/>
      <c r="AB483" s="755"/>
      <c r="AC483" s="755"/>
      <c r="AD483" s="755"/>
      <c r="AE483" s="755"/>
      <c r="AF483" s="755"/>
      <c r="AG483" s="755"/>
      <c r="AH483" s="755"/>
      <c r="AI483" s="755"/>
      <c r="AJ483" s="755"/>
      <c r="AK483" s="755"/>
      <c r="AL483" s="755"/>
      <c r="AM483" s="756"/>
      <c r="AN483" s="595"/>
    </row>
    <row r="484" spans="1:59" s="549" customFormat="1" ht="12.75" hidden="1" customHeight="1" thickTop="1">
      <c r="A484" s="86"/>
      <c r="B484" s="569"/>
      <c r="C484" s="570"/>
      <c r="D484" s="570"/>
      <c r="E484" s="570"/>
      <c r="F484" s="570"/>
      <c r="G484" s="570"/>
      <c r="H484" s="570"/>
      <c r="I484" s="571"/>
      <c r="J484" s="571"/>
      <c r="K484" s="571"/>
      <c r="L484" s="571"/>
      <c r="M484" s="571"/>
      <c r="N484" s="571"/>
      <c r="O484" s="571"/>
      <c r="P484" s="571"/>
      <c r="Q484" s="571"/>
      <c r="R484" s="568"/>
      <c r="S484" s="539"/>
      <c r="T484" s="539"/>
      <c r="U484" s="539"/>
      <c r="V484" s="539"/>
      <c r="W484" s="539"/>
      <c r="X484" s="539"/>
      <c r="Y484" s="539"/>
      <c r="Z484" s="539"/>
      <c r="AA484" s="539"/>
      <c r="AB484" s="539"/>
      <c r="AC484" s="539"/>
      <c r="AD484" s="539"/>
      <c r="AE484" s="539"/>
      <c r="AF484" s="568"/>
      <c r="AG484" s="539"/>
      <c r="AH484" s="539"/>
      <c r="AI484" s="539"/>
      <c r="AJ484" s="539"/>
      <c r="AM484" s="14"/>
      <c r="AN484" s="595"/>
      <c r="AO484" s="549" t="s">
        <v>591</v>
      </c>
      <c r="AP484" s="549">
        <v>0</v>
      </c>
      <c r="AT484" s="549" t="s">
        <v>591</v>
      </c>
      <c r="AU484" s="549">
        <v>0</v>
      </c>
      <c r="AV484" s="748"/>
    </row>
    <row r="485" spans="1:59" s="549" customFormat="1" ht="12.75" hidden="1" customHeight="1">
      <c r="A485" s="539" t="s">
        <v>1501</v>
      </c>
      <c r="C485" s="539"/>
      <c r="E485" s="594"/>
      <c r="AE485" s="2463" t="s">
        <v>1502</v>
      </c>
      <c r="AF485" s="2463"/>
      <c r="AG485" s="2463"/>
      <c r="AH485" s="2463"/>
      <c r="AI485" s="2463"/>
      <c r="AJ485" s="2463"/>
      <c r="AK485" s="2463"/>
      <c r="AL485" s="589"/>
      <c r="AN485" s="595"/>
      <c r="AO485" s="549" t="s">
        <v>1480</v>
      </c>
      <c r="AP485" s="549">
        <v>5</v>
      </c>
      <c r="AT485" s="549" t="s">
        <v>1480</v>
      </c>
      <c r="AU485" s="549">
        <v>5</v>
      </c>
      <c r="AV485" s="748"/>
    </row>
    <row r="486" spans="1:59" s="549" customFormat="1" ht="12.75" hidden="1" customHeight="1">
      <c r="A486" s="539"/>
      <c r="B486" s="536" t="s">
        <v>1503</v>
      </c>
      <c r="C486" s="539"/>
      <c r="E486" s="594"/>
      <c r="AE486" s="589"/>
      <c r="AF486" s="589"/>
      <c r="AG486" s="589"/>
      <c r="AH486" s="589"/>
      <c r="AI486" s="589"/>
      <c r="AJ486" s="589"/>
      <c r="AK486" s="589"/>
      <c r="AL486" s="589"/>
      <c r="AN486" s="595"/>
      <c r="AO486" s="549" t="s">
        <v>1504</v>
      </c>
      <c r="AP486" s="549">
        <v>5</v>
      </c>
      <c r="AT486" s="549" t="s">
        <v>1481</v>
      </c>
      <c r="AU486" s="549">
        <v>5</v>
      </c>
      <c r="AV486" s="748"/>
    </row>
    <row r="487" spans="1:59" s="549" customFormat="1" ht="12.75" hidden="1" customHeight="1">
      <c r="A487" s="539"/>
      <c r="B487" s="539" t="s">
        <v>1505</v>
      </c>
      <c r="C487" s="539"/>
      <c r="E487" s="594"/>
      <c r="AE487" s="589"/>
      <c r="AF487" s="589"/>
      <c r="AG487" s="589"/>
      <c r="AH487" s="589"/>
      <c r="AI487" s="589"/>
      <c r="AJ487" s="589"/>
      <c r="AK487" s="589"/>
      <c r="AL487" s="589"/>
      <c r="AN487" s="595"/>
      <c r="AO487" s="549" t="s">
        <v>1482</v>
      </c>
      <c r="AP487" s="549">
        <v>5</v>
      </c>
      <c r="AQ487" s="539"/>
      <c r="AR487" s="539"/>
      <c r="AS487" s="751"/>
      <c r="AT487" s="549" t="s">
        <v>1482</v>
      </c>
      <c r="AU487" s="549">
        <v>5</v>
      </c>
      <c r="AV487" s="536"/>
    </row>
    <row r="488" spans="1:59" s="549" customFormat="1" ht="12.75" hidden="1" customHeight="1">
      <c r="A488" s="539"/>
      <c r="B488" s="539" t="s">
        <v>1506</v>
      </c>
      <c r="C488" s="539"/>
      <c r="E488" s="594"/>
      <c r="AE488" s="589"/>
      <c r="AF488" s="589"/>
      <c r="AG488" s="589"/>
      <c r="AH488" s="589"/>
      <c r="AI488" s="589"/>
      <c r="AJ488" s="589"/>
      <c r="AK488" s="589"/>
      <c r="AL488" s="589"/>
      <c r="AN488" s="595"/>
      <c r="AO488" s="549" t="s">
        <v>1484</v>
      </c>
      <c r="AP488" s="549">
        <v>5</v>
      </c>
      <c r="AQ488" s="539"/>
      <c r="AR488" s="539"/>
      <c r="AT488" s="549" t="s">
        <v>1484</v>
      </c>
      <c r="AU488" s="549">
        <v>5</v>
      </c>
    </row>
    <row r="489" spans="1:59" s="549" customFormat="1" ht="12.75" hidden="1" customHeight="1">
      <c r="A489" s="539"/>
      <c r="C489" s="539"/>
      <c r="E489" s="594"/>
      <c r="AE489" s="589"/>
      <c r="AF489" s="589"/>
      <c r="AG489" s="589"/>
      <c r="AH489" s="589"/>
      <c r="AI489" s="589"/>
      <c r="AJ489" s="589"/>
      <c r="AK489" s="589"/>
      <c r="AL489" s="589"/>
      <c r="AN489" s="595"/>
      <c r="AO489" s="549" t="s">
        <v>1485</v>
      </c>
      <c r="AP489" s="549">
        <v>5</v>
      </c>
      <c r="AQ489" s="539"/>
      <c r="AR489" s="539"/>
      <c r="AT489" s="549" t="s">
        <v>1485</v>
      </c>
      <c r="AU489" s="549">
        <v>5</v>
      </c>
    </row>
    <row r="490" spans="1:59" s="549" customFormat="1" ht="12.75" hidden="1" customHeight="1">
      <c r="A490" s="539"/>
      <c r="C490" s="708" t="s">
        <v>1507</v>
      </c>
      <c r="D490" s="568"/>
      <c r="AE490" s="589"/>
      <c r="AF490" s="589"/>
      <c r="AG490" s="594"/>
      <c r="AH490" s="594"/>
      <c r="AI490" s="594"/>
      <c r="AJ490" s="594"/>
      <c r="AK490" s="594"/>
      <c r="AL490" s="594"/>
      <c r="AN490" s="595"/>
      <c r="AO490" s="549" t="s">
        <v>1486</v>
      </c>
      <c r="AP490" s="549">
        <v>5</v>
      </c>
      <c r="AT490" s="549" t="s">
        <v>1486</v>
      </c>
      <c r="AU490" s="549">
        <v>5</v>
      </c>
    </row>
    <row r="491" spans="1:59" s="549" customFormat="1" ht="12.75" hidden="1" customHeight="1">
      <c r="A491" s="539"/>
      <c r="C491" s="2412" t="s">
        <v>591</v>
      </c>
      <c r="D491" s="2413"/>
      <c r="E491" s="757" t="s">
        <v>507</v>
      </c>
      <c r="F491" s="2448" t="s">
        <v>1508</v>
      </c>
      <c r="G491" s="2448"/>
      <c r="H491" s="2448"/>
      <c r="I491" s="2448"/>
      <c r="J491" s="2448"/>
      <c r="K491" s="2448"/>
      <c r="L491" s="2448"/>
      <c r="M491" s="2448"/>
      <c r="N491" s="2448"/>
      <c r="O491" s="2448"/>
      <c r="P491" s="2448"/>
      <c r="Q491" s="2448"/>
      <c r="R491" s="2448"/>
      <c r="S491" s="2448"/>
      <c r="T491" s="2448"/>
      <c r="U491" s="2448"/>
      <c r="V491" s="2448"/>
      <c r="W491" s="2448"/>
      <c r="X491" s="2448"/>
      <c r="Y491" s="2448"/>
      <c r="Z491" s="2448"/>
      <c r="AA491" s="2448"/>
      <c r="AB491" s="2448"/>
      <c r="AC491" s="2448"/>
      <c r="AD491" s="2448"/>
      <c r="AE491" s="2448"/>
      <c r="AF491" s="710"/>
      <c r="AG491" s="710"/>
      <c r="AH491" s="710"/>
      <c r="AI491" s="710"/>
      <c r="AJ491" s="710"/>
      <c r="AK491" s="741"/>
      <c r="AN491" s="595"/>
      <c r="AO491" s="549" t="s">
        <v>1509</v>
      </c>
      <c r="AP491" s="549">
        <v>5</v>
      </c>
      <c r="AS491" s="754"/>
      <c r="AT491" s="549" t="s">
        <v>1487</v>
      </c>
      <c r="AU491" s="549">
        <v>5</v>
      </c>
    </row>
    <row r="492" spans="1:59" s="549" customFormat="1" ht="12.75" hidden="1" customHeight="1">
      <c r="C492" s="758"/>
      <c r="E492" s="759"/>
      <c r="F492" s="2449"/>
      <c r="G492" s="2449"/>
      <c r="H492" s="2449"/>
      <c r="I492" s="2449"/>
      <c r="J492" s="2449"/>
      <c r="K492" s="2449"/>
      <c r="L492" s="2449"/>
      <c r="M492" s="2449"/>
      <c r="N492" s="2449"/>
      <c r="O492" s="2449"/>
      <c r="P492" s="2449"/>
      <c r="Q492" s="2449"/>
      <c r="R492" s="2449"/>
      <c r="S492" s="2449"/>
      <c r="T492" s="2449"/>
      <c r="U492" s="2449"/>
      <c r="V492" s="2449"/>
      <c r="W492" s="2449"/>
      <c r="X492" s="2449"/>
      <c r="Y492" s="2449"/>
      <c r="Z492" s="2449"/>
      <c r="AA492" s="2449"/>
      <c r="AB492" s="2449"/>
      <c r="AC492" s="2449"/>
      <c r="AD492" s="2449"/>
      <c r="AE492" s="2449"/>
      <c r="AG492" s="550"/>
      <c r="AH492" s="550"/>
      <c r="AI492" s="550"/>
      <c r="AJ492" s="550"/>
      <c r="AK492" s="728"/>
      <c r="AN492" s="595"/>
      <c r="AO492" s="549" t="s">
        <v>1490</v>
      </c>
      <c r="AP492" s="549">
        <v>1</v>
      </c>
      <c r="AT492" s="549" t="s">
        <v>1490</v>
      </c>
      <c r="AU492" s="549">
        <v>1</v>
      </c>
    </row>
    <row r="493" spans="1:59" s="549" customFormat="1" ht="12.75" hidden="1" customHeight="1">
      <c r="C493" s="760"/>
      <c r="D493" s="723"/>
      <c r="E493" s="761"/>
      <c r="F493" s="2446" t="s">
        <v>591</v>
      </c>
      <c r="G493" s="2446"/>
      <c r="H493" s="2446"/>
      <c r="I493" s="2446"/>
      <c r="J493" s="2446"/>
      <c r="K493" s="2446"/>
      <c r="L493" s="2446"/>
      <c r="M493" s="2446"/>
      <c r="N493" s="2446"/>
      <c r="O493" s="2446"/>
      <c r="P493" s="2446"/>
      <c r="Q493" s="2446"/>
      <c r="R493" s="2446"/>
      <c r="S493" s="2446"/>
      <c r="T493" s="2446"/>
      <c r="U493" s="2446"/>
      <c r="V493" s="2446"/>
      <c r="W493" s="2446"/>
      <c r="X493" s="2446"/>
      <c r="Y493" s="2446"/>
      <c r="Z493" s="2446"/>
      <c r="AA493" s="762"/>
      <c r="AB493" s="654"/>
      <c r="AC493" s="654"/>
      <c r="AD493" s="723"/>
      <c r="AE493" s="723"/>
      <c r="AF493" s="723"/>
      <c r="AG493" s="763">
        <f>IF($C$491="Yes",(VLOOKUP($F$493,$AT$484:$AU$492,2,FALSE)),0)</f>
        <v>0</v>
      </c>
      <c r="AH493" s="764" t="s">
        <v>1322</v>
      </c>
      <c r="AI493" s="763"/>
      <c r="AJ493" s="763"/>
      <c r="AK493" s="738"/>
      <c r="AN493" s="595"/>
      <c r="AS493" s="751"/>
      <c r="AX493" s="751"/>
      <c r="BB493" s="751" t="s">
        <v>1491</v>
      </c>
      <c r="BF493" s="751" t="s">
        <v>1492</v>
      </c>
    </row>
    <row r="494" spans="1:59" s="549" customFormat="1" ht="12.75" hidden="1" customHeight="1">
      <c r="C494" s="550"/>
      <c r="E494" s="759"/>
      <c r="F494" s="591"/>
      <c r="G494" s="591"/>
      <c r="H494" s="591"/>
      <c r="I494" s="591"/>
      <c r="J494" s="591"/>
      <c r="K494" s="591"/>
      <c r="L494" s="591"/>
      <c r="M494" s="591"/>
      <c r="N494" s="591"/>
      <c r="O494" s="591"/>
      <c r="P494" s="591"/>
      <c r="Q494" s="591"/>
      <c r="R494" s="591"/>
      <c r="S494" s="591"/>
      <c r="T494" s="591"/>
      <c r="U494" s="591"/>
      <c r="V494" s="591"/>
      <c r="W494" s="591"/>
      <c r="X494" s="591"/>
      <c r="Y494" s="591"/>
      <c r="Z494" s="591"/>
      <c r="AA494" s="568"/>
      <c r="AB494" s="550"/>
      <c r="AC494" s="550"/>
      <c r="AG494" s="550"/>
      <c r="AH494" s="550"/>
      <c r="AI494" s="550"/>
      <c r="AJ494" s="550"/>
      <c r="AN494" s="595"/>
      <c r="AO494" s="549" t="s">
        <v>591</v>
      </c>
      <c r="AP494" s="635">
        <v>0</v>
      </c>
      <c r="AT494" s="549" t="s">
        <v>591</v>
      </c>
      <c r="AU494" s="635">
        <v>0</v>
      </c>
      <c r="AW494" s="549" t="s">
        <v>591</v>
      </c>
      <c r="AX494" s="635">
        <v>0</v>
      </c>
      <c r="AY494" s="591"/>
      <c r="BB494" s="549" t="s">
        <v>591</v>
      </c>
      <c r="BC494" s="591">
        <v>0</v>
      </c>
      <c r="BF494" s="549" t="s">
        <v>591</v>
      </c>
      <c r="BG494" s="591">
        <v>0</v>
      </c>
    </row>
    <row r="495" spans="1:59" s="549" customFormat="1" ht="12.75" hidden="1" customHeight="1">
      <c r="C495" s="2415" t="s">
        <v>545</v>
      </c>
      <c r="D495" s="2416"/>
      <c r="E495" s="757" t="s">
        <v>757</v>
      </c>
      <c r="F495" s="765" t="s">
        <v>1510</v>
      </c>
      <c r="G495" s="645"/>
      <c r="H495" s="645"/>
      <c r="I495" s="645"/>
      <c r="J495" s="645"/>
      <c r="K495" s="645"/>
      <c r="L495" s="645"/>
      <c r="M495" s="645"/>
      <c r="N495" s="645"/>
      <c r="O495" s="645"/>
      <c r="P495" s="645"/>
      <c r="Q495" s="645"/>
      <c r="R495" s="645"/>
      <c r="S495" s="645"/>
      <c r="T495" s="645"/>
      <c r="U495" s="645"/>
      <c r="V495" s="645"/>
      <c r="W495" s="645"/>
      <c r="X495" s="645"/>
      <c r="Y495" s="645"/>
      <c r="Z495" s="645"/>
      <c r="AA495" s="645"/>
      <c r="AB495" s="645"/>
      <c r="AC495" s="645"/>
      <c r="AD495" s="710"/>
      <c r="AE495" s="710"/>
      <c r="AF495" s="710"/>
      <c r="AG495" s="645"/>
      <c r="AH495" s="645"/>
      <c r="AI495" s="645"/>
      <c r="AJ495" s="645"/>
      <c r="AK495" s="741"/>
      <c r="AN495" s="595"/>
      <c r="AO495" s="754">
        <v>0.15</v>
      </c>
      <c r="AP495" s="635">
        <v>3</v>
      </c>
      <c r="AT495" s="754">
        <v>7.0000000000000007E-2</v>
      </c>
      <c r="AU495" s="635">
        <v>3</v>
      </c>
      <c r="AW495" s="549" t="s">
        <v>1493</v>
      </c>
      <c r="AX495" s="635">
        <v>3</v>
      </c>
      <c r="AY495" s="591"/>
      <c r="BB495" s="754">
        <v>0.4</v>
      </c>
      <c r="BC495" s="591">
        <v>3</v>
      </c>
      <c r="BF495" s="754">
        <v>0.4</v>
      </c>
      <c r="BG495" s="591">
        <v>4</v>
      </c>
    </row>
    <row r="496" spans="1:59" s="549" customFormat="1" ht="12.75" hidden="1" customHeight="1">
      <c r="C496" s="766" t="s">
        <v>1511</v>
      </c>
      <c r="F496" s="767" t="s">
        <v>1512</v>
      </c>
      <c r="G496" s="550"/>
      <c r="H496" s="550"/>
      <c r="I496" s="550"/>
      <c r="J496" s="550"/>
      <c r="K496" s="550"/>
      <c r="L496" s="550"/>
      <c r="M496" s="550"/>
      <c r="N496" s="550"/>
      <c r="O496" s="550"/>
      <c r="P496" s="550"/>
      <c r="Q496" s="550"/>
      <c r="R496" s="550"/>
      <c r="S496" s="550"/>
      <c r="T496" s="550"/>
      <c r="U496" s="550"/>
      <c r="V496" s="550"/>
      <c r="W496" s="550"/>
      <c r="X496" s="550"/>
      <c r="Y496" s="550"/>
      <c r="Z496" s="550"/>
      <c r="AA496" s="550"/>
      <c r="AB496" s="550"/>
      <c r="AC496" s="589"/>
      <c r="AG496" s="611"/>
      <c r="AH496" s="611"/>
      <c r="AI496" s="611"/>
      <c r="AJ496" s="611"/>
      <c r="AK496" s="728"/>
      <c r="AN496" s="595"/>
      <c r="AO496" s="754">
        <v>0.2</v>
      </c>
      <c r="AP496" s="635">
        <v>5</v>
      </c>
      <c r="AT496" s="754">
        <v>0.12</v>
      </c>
      <c r="AU496" s="635">
        <v>5</v>
      </c>
      <c r="AW496" s="549" t="s">
        <v>1496</v>
      </c>
      <c r="AX496" s="635">
        <v>5</v>
      </c>
      <c r="AY496" s="591"/>
      <c r="BB496" s="754">
        <v>0.6</v>
      </c>
      <c r="BC496" s="591">
        <v>4</v>
      </c>
      <c r="BF496" s="754">
        <v>0.6</v>
      </c>
      <c r="BG496" s="591">
        <v>5</v>
      </c>
    </row>
    <row r="497" spans="1:81" s="549" customFormat="1" ht="12.75" hidden="1" customHeight="1">
      <c r="C497" s="747"/>
      <c r="D497" s="726"/>
      <c r="E497" s="768"/>
      <c r="F497" s="767" t="s">
        <v>1513</v>
      </c>
      <c r="G497" s="767"/>
      <c r="H497" s="767"/>
      <c r="I497" s="767"/>
      <c r="J497" s="767"/>
      <c r="K497" s="767"/>
      <c r="L497" s="767"/>
      <c r="M497" s="767"/>
      <c r="N497" s="767"/>
      <c r="O497" s="767"/>
      <c r="P497" s="767"/>
      <c r="Q497" s="767"/>
      <c r="R497" s="767"/>
      <c r="S497" s="767"/>
      <c r="T497" s="767"/>
      <c r="U497" s="767"/>
      <c r="V497" s="767"/>
      <c r="W497" s="767"/>
      <c r="X497" s="767"/>
      <c r="Y497" s="767"/>
      <c r="Z497" s="767"/>
      <c r="AA497" s="767"/>
      <c r="AB497" s="767"/>
      <c r="AC497" s="769"/>
      <c r="AD497" s="607"/>
      <c r="AE497" s="607"/>
      <c r="AF497" s="607"/>
      <c r="AG497" s="770"/>
      <c r="AH497" s="611"/>
      <c r="AI497" s="611"/>
      <c r="AJ497" s="611"/>
      <c r="AK497" s="728"/>
      <c r="AN497" s="674"/>
      <c r="AO497" s="754"/>
      <c r="AP497" s="591"/>
      <c r="AT497" s="754"/>
      <c r="AU497" s="591"/>
      <c r="AX497" s="754"/>
      <c r="AY497" s="591"/>
      <c r="BB497" s="754">
        <v>0.8</v>
      </c>
      <c r="BC497" s="591">
        <v>5</v>
      </c>
      <c r="BF497" s="754"/>
      <c r="BG497" s="591"/>
    </row>
    <row r="498" spans="1:81" s="594" customFormat="1" ht="12.75" hidden="1" customHeight="1">
      <c r="A498" s="635"/>
      <c r="B498" s="549"/>
      <c r="C498" s="758"/>
      <c r="D498" s="549"/>
      <c r="E498" s="759"/>
      <c r="F498" s="771" t="s">
        <v>1514</v>
      </c>
      <c r="G498" s="549"/>
      <c r="H498" s="549"/>
      <c r="I498" s="767"/>
      <c r="J498" s="767"/>
      <c r="K498" s="767"/>
      <c r="L498" s="767"/>
      <c r="M498" s="767"/>
      <c r="N498" s="767"/>
      <c r="O498" s="767"/>
      <c r="P498" s="767"/>
      <c r="Q498" s="767"/>
      <c r="R498" s="767"/>
      <c r="S498" s="767"/>
      <c r="T498" s="767"/>
      <c r="U498" s="767"/>
      <c r="V498" s="2445" t="s">
        <v>591</v>
      </c>
      <c r="W498" s="2445"/>
      <c r="X498" s="2445"/>
      <c r="Y498" s="767"/>
      <c r="Z498" s="767"/>
      <c r="AA498" s="767"/>
      <c r="AB498" s="767"/>
      <c r="AC498" s="767"/>
      <c r="AD498" s="607"/>
      <c r="AE498" s="607"/>
      <c r="AF498" s="607"/>
      <c r="AG498" s="611">
        <f>IF(AND($C$495="Yes",$V$500="N/A",$V$505="N/A",$V$509="N/A",$V$511="N/A"),(VLOOKUP(V498,$AW$494:$AX$496,2,FALSE)),0)</f>
        <v>0</v>
      </c>
      <c r="AH498" s="638" t="s">
        <v>1322</v>
      </c>
      <c r="AI498" s="550"/>
      <c r="AJ498" s="550"/>
      <c r="AK498" s="728"/>
      <c r="AL498" s="549"/>
      <c r="AM498" s="549"/>
      <c r="AN498" s="595"/>
      <c r="AT498" s="549" t="s">
        <v>591</v>
      </c>
      <c r="AU498" s="635">
        <v>0</v>
      </c>
      <c r="AV498" s="549"/>
      <c r="AW498" s="549"/>
      <c r="AX498" s="549"/>
      <c r="AY498" s="549"/>
      <c r="AZ498" s="549"/>
      <c r="BA498" s="549"/>
      <c r="BB498" s="754"/>
      <c r="BC498" s="591"/>
      <c r="BD498" s="549"/>
      <c r="BE498" s="549"/>
      <c r="BF498" s="549"/>
      <c r="BG498" s="549"/>
    </row>
    <row r="499" spans="1:81" s="594" customFormat="1" ht="12.75" hidden="1" customHeight="1">
      <c r="A499" s="635"/>
      <c r="B499" s="549"/>
      <c r="C499" s="758"/>
      <c r="D499" s="549"/>
      <c r="E499" s="759"/>
      <c r="F499" s="771"/>
      <c r="G499" s="549"/>
      <c r="H499" s="549"/>
      <c r="I499" s="767"/>
      <c r="J499" s="767"/>
      <c r="K499" s="767"/>
      <c r="L499" s="767"/>
      <c r="M499" s="767"/>
      <c r="N499" s="767"/>
      <c r="O499" s="767"/>
      <c r="P499" s="767"/>
      <c r="Q499" s="767"/>
      <c r="R499" s="767"/>
      <c r="S499" s="767"/>
      <c r="T499" s="767"/>
      <c r="U499" s="767"/>
      <c r="V499" s="767"/>
      <c r="W499" s="767"/>
      <c r="X499" s="767"/>
      <c r="Y499" s="767"/>
      <c r="Z499" s="767"/>
      <c r="AA499" s="767"/>
      <c r="AB499" s="767"/>
      <c r="AC499" s="767"/>
      <c r="AD499" s="607"/>
      <c r="AE499" s="607"/>
      <c r="AF499" s="607"/>
      <c r="AG499" s="611"/>
      <c r="AH499" s="638"/>
      <c r="AI499" s="550"/>
      <c r="AJ499" s="550"/>
      <c r="AK499" s="728"/>
      <c r="AL499" s="549"/>
      <c r="AM499" s="549"/>
      <c r="AN499" s="595"/>
      <c r="AT499" s="754">
        <v>0.09</v>
      </c>
      <c r="AU499" s="635">
        <v>3</v>
      </c>
      <c r="AV499" s="549"/>
      <c r="AW499" s="549"/>
      <c r="AX499" s="751"/>
      <c r="AY499" s="549"/>
      <c r="AZ499" s="549"/>
      <c r="BA499" s="549"/>
      <c r="BB499" s="549"/>
      <c r="BC499" s="549"/>
      <c r="BD499" s="549"/>
      <c r="BE499" s="549"/>
      <c r="BF499" s="549"/>
      <c r="BG499" s="549"/>
    </row>
    <row r="500" spans="1:81" s="594" customFormat="1" ht="12.75" hidden="1" customHeight="1">
      <c r="A500" s="635"/>
      <c r="B500" s="549"/>
      <c r="C500" s="758"/>
      <c r="D500" s="549"/>
      <c r="E500" s="759"/>
      <c r="F500" s="771" t="s">
        <v>1515</v>
      </c>
      <c r="G500" s="549"/>
      <c r="H500" s="549"/>
      <c r="I500" s="767"/>
      <c r="J500" s="767"/>
      <c r="K500" s="767"/>
      <c r="L500" s="767"/>
      <c r="M500" s="767"/>
      <c r="N500" s="767"/>
      <c r="O500" s="767"/>
      <c r="P500" s="767"/>
      <c r="Q500" s="767"/>
      <c r="R500" s="767"/>
      <c r="S500" s="767"/>
      <c r="T500" s="767"/>
      <c r="U500" s="767"/>
      <c r="V500" s="2445" t="s">
        <v>591</v>
      </c>
      <c r="W500" s="2445"/>
      <c r="X500" s="2445"/>
      <c r="Y500" s="767"/>
      <c r="Z500" s="767"/>
      <c r="AA500" s="767"/>
      <c r="AB500" s="767"/>
      <c r="AC500" s="767"/>
      <c r="AD500" s="607"/>
      <c r="AE500" s="607"/>
      <c r="AF500" s="607"/>
      <c r="AG500" s="611">
        <f>IF(AND($C$495="Yes",$V$498="N/A", $V$505="N/A",$V$509="N/A",$V$511="N/A"),(VLOOKUP(V500,$AT$494:$AU$496,2,FALSE)),0)</f>
        <v>0</v>
      </c>
      <c r="AH500" s="638" t="s">
        <v>1322</v>
      </c>
      <c r="AI500" s="550"/>
      <c r="AJ500" s="550"/>
      <c r="AK500" s="728"/>
      <c r="AL500" s="549"/>
      <c r="AM500" s="549"/>
      <c r="AN500" s="595"/>
      <c r="AT500" s="754">
        <v>0.15</v>
      </c>
      <c r="AU500" s="635">
        <v>5</v>
      </c>
      <c r="AV500" s="549"/>
      <c r="AW500" s="549"/>
      <c r="AX500" s="549"/>
      <c r="AY500" s="549"/>
      <c r="AZ500" s="549"/>
      <c r="BA500" s="549"/>
      <c r="BB500" s="549"/>
      <c r="BC500" s="549"/>
      <c r="BD500" s="549"/>
      <c r="BE500" s="549"/>
      <c r="BF500" s="549"/>
      <c r="BG500" s="549"/>
    </row>
    <row r="501" spans="1:81" s="549" customFormat="1" ht="12.75" hidden="1" customHeight="1">
      <c r="C501" s="758"/>
      <c r="E501" s="759"/>
      <c r="F501" s="594"/>
      <c r="G501" s="772"/>
      <c r="H501" s="772"/>
      <c r="I501" s="772"/>
      <c r="J501" s="772"/>
      <c r="K501" s="772"/>
      <c r="L501" s="772"/>
      <c r="M501" s="772"/>
      <c r="N501" s="772"/>
      <c r="O501" s="772"/>
      <c r="P501" s="772"/>
      <c r="Q501" s="550"/>
      <c r="R501" s="550"/>
      <c r="S501" s="550"/>
      <c r="T501" s="550"/>
      <c r="U501" s="550"/>
      <c r="V501" s="550"/>
      <c r="W501" s="550"/>
      <c r="X501" s="550"/>
      <c r="Y501" s="550"/>
      <c r="Z501" s="550"/>
      <c r="AA501" s="550"/>
      <c r="AB501" s="550"/>
      <c r="AC501" s="550"/>
      <c r="AG501" s="594"/>
      <c r="AH501" s="594"/>
      <c r="AI501" s="594"/>
      <c r="AJ501" s="594"/>
      <c r="AK501" s="728"/>
      <c r="AN501" s="595"/>
      <c r="AO501" s="549" t="s">
        <v>591</v>
      </c>
      <c r="AP501" s="549">
        <v>0</v>
      </c>
    </row>
    <row r="502" spans="1:81" s="549" customFormat="1" ht="12.75" hidden="1" customHeight="1">
      <c r="C502" s="758"/>
      <c r="E502" s="759"/>
      <c r="F502" s="772" t="s">
        <v>1516</v>
      </c>
      <c r="I502" s="759"/>
      <c r="J502" s="759"/>
      <c r="K502" s="759"/>
      <c r="L502" s="759"/>
      <c r="M502" s="759"/>
      <c r="N502" s="759"/>
      <c r="O502" s="759"/>
      <c r="P502" s="759"/>
      <c r="Q502" s="550"/>
      <c r="R502" s="550"/>
      <c r="S502" s="550"/>
      <c r="T502" s="550"/>
      <c r="U502" s="550"/>
      <c r="V502" s="550"/>
      <c r="W502" s="550"/>
      <c r="X502" s="550"/>
      <c r="Y502" s="550"/>
      <c r="Z502" s="550"/>
      <c r="AA502" s="550"/>
      <c r="AB502" s="550"/>
      <c r="AC502" s="550"/>
      <c r="AJ502" s="550"/>
      <c r="AK502" s="728"/>
      <c r="AN502" s="595"/>
      <c r="AO502" s="549" t="s">
        <v>1517</v>
      </c>
      <c r="AP502" s="635">
        <v>2</v>
      </c>
    </row>
    <row r="503" spans="1:81" s="549" customFormat="1" ht="12.75" hidden="1" customHeight="1">
      <c r="C503" s="758"/>
      <c r="F503" s="607" t="s">
        <v>1518</v>
      </c>
      <c r="M503" s="759"/>
      <c r="N503" s="759"/>
      <c r="O503" s="759"/>
      <c r="P503" s="759"/>
      <c r="Q503" s="550"/>
      <c r="R503" s="550"/>
      <c r="S503" s="550"/>
      <c r="T503" s="550"/>
      <c r="U503" s="550"/>
      <c r="V503" s="550"/>
      <c r="W503" s="550"/>
      <c r="X503" s="550"/>
      <c r="Y503" s="550"/>
      <c r="Z503" s="550"/>
      <c r="AA503" s="550"/>
      <c r="AB503" s="550"/>
      <c r="AC503" s="550"/>
      <c r="AG503" s="611"/>
      <c r="AH503" s="638"/>
      <c r="AI503" s="550"/>
      <c r="AJ503" s="550"/>
      <c r="AK503" s="728"/>
      <c r="AN503" s="595"/>
      <c r="AO503" s="549" t="s">
        <v>1519</v>
      </c>
      <c r="AP503" s="549">
        <v>2</v>
      </c>
    </row>
    <row r="504" spans="1:81" s="594" customFormat="1" ht="12.75" hidden="1" customHeight="1">
      <c r="A504" s="549"/>
      <c r="B504" s="549"/>
      <c r="C504" s="735"/>
      <c r="D504" s="568"/>
      <c r="E504" s="568"/>
      <c r="F504" s="607" t="s">
        <v>1520</v>
      </c>
      <c r="G504" s="549"/>
      <c r="H504" s="549"/>
      <c r="I504" s="549"/>
      <c r="J504" s="549"/>
      <c r="K504" s="549"/>
      <c r="L504" s="549"/>
      <c r="M504" s="759"/>
      <c r="N504" s="759"/>
      <c r="O504" s="759"/>
      <c r="P504" s="759"/>
      <c r="Q504" s="550"/>
      <c r="R504" s="550"/>
      <c r="S504" s="550"/>
      <c r="T504" s="550"/>
      <c r="U504" s="550"/>
      <c r="V504" s="550"/>
      <c r="W504" s="550"/>
      <c r="X504" s="550"/>
      <c r="Y504" s="550"/>
      <c r="Z504" s="550"/>
      <c r="AA504" s="550"/>
      <c r="AB504" s="550"/>
      <c r="AC504" s="550"/>
      <c r="AD504" s="549"/>
      <c r="AE504" s="549"/>
      <c r="AF504" s="549"/>
      <c r="AG504" s="611"/>
      <c r="AH504" s="638"/>
      <c r="AI504" s="550"/>
      <c r="AJ504" s="550"/>
      <c r="AK504" s="728"/>
      <c r="AL504" s="549"/>
      <c r="AM504" s="549"/>
      <c r="AN504" s="674"/>
      <c r="AO504" s="549" t="s">
        <v>1521</v>
      </c>
      <c r="AP504" s="549">
        <v>2</v>
      </c>
    </row>
    <row r="505" spans="1:81" s="549" customFormat="1" ht="12.75" hidden="1" customHeight="1">
      <c r="C505" s="773"/>
      <c r="F505" s="771" t="s">
        <v>1522</v>
      </c>
      <c r="M505" s="759"/>
      <c r="N505" s="759"/>
      <c r="O505" s="759"/>
      <c r="P505" s="759"/>
      <c r="Q505" s="550"/>
      <c r="R505" s="550"/>
      <c r="S505" s="550"/>
      <c r="T505" s="550"/>
      <c r="U505" s="550"/>
      <c r="V505" s="2445" t="s">
        <v>591</v>
      </c>
      <c r="W505" s="2445"/>
      <c r="X505" s="2445"/>
      <c r="Y505" s="550"/>
      <c r="Z505" s="550"/>
      <c r="AA505" s="550"/>
      <c r="AB505" s="550"/>
      <c r="AC505" s="550"/>
      <c r="AG505" s="611">
        <f>IF(AND($C$495="Yes",$V$498="N/A",$V$500="N/A", $V$509="N/A",$V$511="N/A"),(VLOOKUP($V$505,$AT$498:$AU$500,2,FALSE)),0)</f>
        <v>0</v>
      </c>
      <c r="AH505" s="638" t="s">
        <v>1322</v>
      </c>
      <c r="AI505" s="550"/>
      <c r="AJ505" s="550"/>
      <c r="AK505" s="728"/>
      <c r="AN505" s="535"/>
    </row>
    <row r="506" spans="1:81" s="549" customFormat="1" ht="12.75" hidden="1" customHeight="1">
      <c r="C506" s="758"/>
      <c r="M506" s="759"/>
      <c r="N506" s="759"/>
      <c r="O506" s="759"/>
      <c r="P506" s="759"/>
      <c r="Q506" s="550"/>
      <c r="R506" s="550"/>
      <c r="S506" s="550"/>
      <c r="T506" s="550"/>
      <c r="U506" s="550"/>
      <c r="V506" s="550"/>
      <c r="W506" s="550"/>
      <c r="X506" s="550"/>
      <c r="Y506" s="550"/>
      <c r="Z506" s="550"/>
      <c r="AA506" s="550"/>
      <c r="AB506" s="550"/>
      <c r="AC506" s="550"/>
      <c r="AJ506" s="550"/>
      <c r="AK506" s="728"/>
      <c r="AN506" s="774"/>
    </row>
    <row r="507" spans="1:81" s="594" customFormat="1" ht="12.75" hidden="1" customHeight="1">
      <c r="A507" s="549"/>
      <c r="B507" s="549"/>
      <c r="C507" s="775" t="s">
        <v>1523</v>
      </c>
      <c r="D507" s="710"/>
      <c r="E507" s="710"/>
      <c r="F507" s="776" t="s">
        <v>1524</v>
      </c>
      <c r="G507" s="710"/>
      <c r="H507" s="710"/>
      <c r="I507" s="710"/>
      <c r="J507" s="710"/>
      <c r="K507" s="710"/>
      <c r="L507" s="710"/>
      <c r="M507" s="710"/>
      <c r="N507" s="710"/>
      <c r="O507" s="710"/>
      <c r="P507" s="710"/>
      <c r="Q507" s="710"/>
      <c r="R507" s="710"/>
      <c r="S507" s="710"/>
      <c r="T507" s="710"/>
      <c r="U507" s="710"/>
      <c r="V507" s="710"/>
      <c r="W507" s="710"/>
      <c r="X507" s="710"/>
      <c r="Y507" s="710"/>
      <c r="Z507" s="710"/>
      <c r="AA507" s="710"/>
      <c r="AB507" s="710"/>
      <c r="AC507" s="710"/>
      <c r="AD507" s="710"/>
      <c r="AE507" s="710"/>
      <c r="AF507" s="710"/>
      <c r="AG507" s="710"/>
      <c r="AH507" s="710"/>
      <c r="AI507" s="710"/>
      <c r="AJ507" s="710"/>
      <c r="AK507" s="741"/>
      <c r="AL507" s="549"/>
      <c r="AM507" s="549"/>
      <c r="AN507" s="590"/>
      <c r="AO507" s="549" t="s">
        <v>591</v>
      </c>
      <c r="AP507" s="549">
        <v>0</v>
      </c>
      <c r="AQ507" s="539"/>
    </row>
    <row r="508" spans="1:81" s="594" customFormat="1" ht="12.75" hidden="1" customHeight="1">
      <c r="A508" s="549"/>
      <c r="B508" s="549"/>
      <c r="C508" s="777"/>
      <c r="D508" s="2414"/>
      <c r="E508" s="2414"/>
      <c r="F508" s="767" t="s">
        <v>1525</v>
      </c>
      <c r="I508" s="549"/>
      <c r="J508" s="549"/>
      <c r="K508" s="549"/>
      <c r="L508" s="549"/>
      <c r="M508" s="549"/>
      <c r="N508" s="549"/>
      <c r="O508" s="549"/>
      <c r="P508" s="549"/>
      <c r="Q508" s="549"/>
      <c r="R508" s="549"/>
      <c r="S508" s="549"/>
      <c r="T508" s="549"/>
      <c r="U508" s="549"/>
      <c r="Y508" s="549"/>
      <c r="Z508" s="549"/>
      <c r="AA508" s="549"/>
      <c r="AB508" s="549"/>
      <c r="AC508" s="549"/>
      <c r="AD508" s="549"/>
      <c r="AE508" s="549"/>
      <c r="AF508" s="549"/>
      <c r="AK508" s="728"/>
      <c r="AL508" s="549"/>
      <c r="AM508" s="549"/>
      <c r="AN508" s="590"/>
      <c r="AO508" s="549" t="s">
        <v>1526</v>
      </c>
      <c r="AP508" s="635">
        <v>5</v>
      </c>
      <c r="AQ508" s="539"/>
    </row>
    <row r="509" spans="1:81" s="568" customFormat="1" ht="12.75" hidden="1" customHeight="1">
      <c r="A509" s="675"/>
      <c r="B509" s="549"/>
      <c r="C509" s="758"/>
      <c r="D509" s="549"/>
      <c r="E509" s="549"/>
      <c r="F509" s="778" t="s">
        <v>1514</v>
      </c>
      <c r="G509" s="549"/>
      <c r="H509" s="549"/>
      <c r="I509" s="549"/>
      <c r="J509" s="549"/>
      <c r="K509" s="549"/>
      <c r="L509" s="549"/>
      <c r="M509" s="549"/>
      <c r="N509" s="549"/>
      <c r="O509" s="549"/>
      <c r="P509" s="549"/>
      <c r="Q509" s="549"/>
      <c r="R509" s="549"/>
      <c r="S509" s="549"/>
      <c r="T509" s="549"/>
      <c r="U509" s="549"/>
      <c r="V509" s="2445" t="s">
        <v>591</v>
      </c>
      <c r="W509" s="2445"/>
      <c r="X509" s="2445"/>
      <c r="Y509" s="549"/>
      <c r="Z509" s="549"/>
      <c r="AA509" s="549"/>
      <c r="AB509" s="549"/>
      <c r="AC509" s="549"/>
      <c r="AD509" s="549"/>
      <c r="AE509" s="549"/>
      <c r="AF509" s="549"/>
      <c r="AG509" s="611">
        <f>IF(AND($C$495="Yes",$V$498="N/A",V500="N/A",$V$505="N/A",$V$511="N/A"),(VLOOKUP($V$509,$BB$494:$BC$497,2,FALSE)),0)</f>
        <v>0</v>
      </c>
      <c r="AH509" s="638" t="s">
        <v>1322</v>
      </c>
      <c r="AI509" s="550"/>
      <c r="AJ509" s="549"/>
      <c r="AK509" s="728"/>
      <c r="AL509" s="549"/>
      <c r="AM509" s="549"/>
      <c r="AN509" s="680"/>
      <c r="AO509" s="549" t="s">
        <v>1527</v>
      </c>
      <c r="AP509" s="549">
        <v>5</v>
      </c>
      <c r="AS509" s="549"/>
      <c r="AT509" s="549"/>
      <c r="AU509" s="549"/>
      <c r="AV509" s="549"/>
      <c r="AW509" s="549"/>
      <c r="AX509" s="549"/>
      <c r="AY509" s="549"/>
      <c r="AZ509" s="549"/>
      <c r="BA509" s="549"/>
      <c r="BB509" s="549"/>
      <c r="BO509" s="549"/>
      <c r="BP509" s="549"/>
      <c r="BQ509" s="549"/>
      <c r="BR509" s="549"/>
      <c r="BS509" s="549"/>
      <c r="BT509" s="549"/>
      <c r="BU509" s="549"/>
      <c r="BV509" s="549"/>
      <c r="BW509" s="549"/>
      <c r="BX509" s="549"/>
      <c r="BY509" s="549"/>
      <c r="BZ509" s="549"/>
      <c r="CA509" s="549"/>
      <c r="CB509" s="549"/>
      <c r="CC509" s="549"/>
    </row>
    <row r="510" spans="1:81" s="568" customFormat="1" ht="12.75" hidden="1" customHeight="1">
      <c r="A510" s="675"/>
      <c r="B510" s="549"/>
      <c r="C510" s="758"/>
      <c r="D510" s="549"/>
      <c r="E510" s="549"/>
      <c r="I510" s="549"/>
      <c r="J510" s="549"/>
      <c r="K510" s="549"/>
      <c r="L510" s="549"/>
      <c r="M510" s="549"/>
      <c r="N510" s="549"/>
      <c r="O510" s="549"/>
      <c r="P510" s="549"/>
      <c r="Q510" s="549"/>
      <c r="R510" s="549"/>
      <c r="S510" s="549"/>
      <c r="T510" s="549"/>
      <c r="U510" s="549"/>
      <c r="V510" s="549"/>
      <c r="W510" s="549"/>
      <c r="X510" s="549"/>
      <c r="Y510" s="549"/>
      <c r="Z510" s="549"/>
      <c r="AA510" s="549"/>
      <c r="AB510" s="549"/>
      <c r="AC510" s="549"/>
      <c r="AD510" s="549"/>
      <c r="AE510" s="549"/>
      <c r="AF510" s="549"/>
      <c r="AK510" s="728"/>
      <c r="AL510" s="549"/>
      <c r="AM510" s="549"/>
      <c r="AN510" s="680"/>
      <c r="AO510" s="549" t="s">
        <v>1528</v>
      </c>
      <c r="AP510" s="549">
        <v>5</v>
      </c>
      <c r="AS510" s="549"/>
      <c r="AT510" s="549"/>
      <c r="AU510" s="549"/>
      <c r="AV510" s="549"/>
      <c r="AW510" s="549"/>
      <c r="AX510" s="549"/>
      <c r="AY510" s="549"/>
      <c r="AZ510" s="549"/>
      <c r="BA510" s="549"/>
      <c r="BB510" s="549"/>
      <c r="BC510" s="549"/>
      <c r="BD510" s="549"/>
      <c r="BE510" s="549"/>
      <c r="BF510" s="549"/>
      <c r="BG510" s="549"/>
      <c r="BH510" s="549"/>
      <c r="BI510" s="549"/>
      <c r="BJ510" s="549"/>
      <c r="BK510" s="549"/>
      <c r="BL510" s="549"/>
      <c r="BM510" s="549"/>
      <c r="BN510" s="549"/>
      <c r="BO510" s="549"/>
      <c r="BP510" s="549"/>
      <c r="BQ510" s="549"/>
      <c r="BR510" s="549"/>
      <c r="BS510" s="549"/>
      <c r="BT510" s="549"/>
      <c r="BU510" s="549"/>
      <c r="BV510" s="549"/>
      <c r="BW510" s="549"/>
      <c r="BX510" s="549"/>
      <c r="BY510" s="549"/>
      <c r="BZ510" s="549"/>
      <c r="CA510" s="549"/>
      <c r="CB510" s="549"/>
      <c r="CC510" s="549"/>
    </row>
    <row r="511" spans="1:81" s="539" customFormat="1" ht="12.75" hidden="1" customHeight="1">
      <c r="A511" s="675"/>
      <c r="B511" s="549"/>
      <c r="C511" s="760"/>
      <c r="D511" s="723"/>
      <c r="E511" s="723"/>
      <c r="F511" s="771" t="s">
        <v>1515</v>
      </c>
      <c r="G511" s="762"/>
      <c r="H511" s="762"/>
      <c r="I511" s="723"/>
      <c r="J511" s="723"/>
      <c r="K511" s="723"/>
      <c r="L511" s="723"/>
      <c r="M511" s="723"/>
      <c r="N511" s="723"/>
      <c r="O511" s="723"/>
      <c r="P511" s="723"/>
      <c r="Q511" s="723"/>
      <c r="R511" s="723"/>
      <c r="S511" s="723"/>
      <c r="T511" s="723"/>
      <c r="U511" s="723"/>
      <c r="V511" s="2445" t="s">
        <v>591</v>
      </c>
      <c r="W511" s="2445"/>
      <c r="X511" s="2445"/>
      <c r="Y511" s="723"/>
      <c r="Z511" s="723"/>
      <c r="AA511" s="723"/>
      <c r="AB511" s="723"/>
      <c r="AC511" s="723"/>
      <c r="AD511" s="723"/>
      <c r="AE511" s="723"/>
      <c r="AF511" s="723"/>
      <c r="AG511" s="779">
        <f>IF(AND($C$495="Yes",$V$498="N/A",$V$500="N/A",$V$505="N/A",$V$509="N/A"),(VLOOKUP($V$511,$BF$494:$BG$496,2,FALSE)),0)</f>
        <v>0</v>
      </c>
      <c r="AH511" s="764" t="s">
        <v>1322</v>
      </c>
      <c r="AI511" s="723"/>
      <c r="AJ511" s="723"/>
      <c r="AK511" s="738"/>
      <c r="AL511" s="549"/>
      <c r="AM511" s="549"/>
      <c r="AN511" s="780"/>
      <c r="AP511" s="594"/>
      <c r="AQ511" s="594"/>
      <c r="AR511" s="594"/>
      <c r="AS511" s="594"/>
      <c r="AT511" s="594"/>
      <c r="AU511" s="594"/>
      <c r="AV511" s="594"/>
      <c r="AW511" s="594"/>
      <c r="AX511" s="594"/>
      <c r="AY511" s="594"/>
      <c r="AZ511" s="594"/>
      <c r="BA511" s="594"/>
      <c r="BB511" s="594"/>
      <c r="BC511" s="594"/>
      <c r="BE511" s="594"/>
      <c r="BF511" s="594"/>
      <c r="BG511" s="594"/>
      <c r="BH511" s="594"/>
      <c r="BI511" s="594"/>
      <c r="BJ511" s="594"/>
      <c r="BK511" s="594"/>
      <c r="BL511" s="594"/>
      <c r="BM511" s="594"/>
      <c r="BN511" s="594"/>
      <c r="BO511" s="594"/>
      <c r="BP511" s="594"/>
      <c r="BQ511" s="594"/>
      <c r="BR511" s="594"/>
    </row>
    <row r="512" spans="1:81" s="539" customFormat="1" ht="12.75" hidden="1" customHeight="1">
      <c r="A512" s="675"/>
      <c r="B512" s="549"/>
      <c r="C512" s="550"/>
      <c r="D512" s="549"/>
      <c r="E512" s="759"/>
      <c r="F512" s="549"/>
      <c r="G512" s="549"/>
      <c r="H512" s="549"/>
      <c r="I512" s="549"/>
      <c r="J512" s="549"/>
      <c r="K512" s="549"/>
      <c r="L512" s="549"/>
      <c r="M512" s="549"/>
      <c r="N512" s="549"/>
      <c r="O512" s="549"/>
      <c r="P512" s="549"/>
      <c r="Q512" s="549"/>
      <c r="R512" s="549"/>
      <c r="S512" s="549"/>
      <c r="T512" s="549"/>
      <c r="U512" s="549"/>
      <c r="V512" s="549"/>
      <c r="W512" s="549"/>
      <c r="X512" s="549"/>
      <c r="Y512" s="549"/>
      <c r="Z512" s="549"/>
      <c r="AA512" s="549"/>
      <c r="AB512" s="549"/>
      <c r="AC512" s="549"/>
      <c r="AD512" s="549"/>
      <c r="AE512" s="549"/>
      <c r="AF512" s="549"/>
      <c r="AG512" s="549"/>
      <c r="AH512" s="549"/>
      <c r="AI512" s="549"/>
      <c r="AJ512" s="549"/>
      <c r="AK512" s="549"/>
      <c r="AL512" s="549"/>
      <c r="AM512" s="549"/>
      <c r="AN512" s="780"/>
      <c r="AO512" s="781"/>
      <c r="AP512" s="549"/>
      <c r="AQ512" s="549"/>
      <c r="AR512" s="549"/>
      <c r="AS512" s="549"/>
      <c r="AT512" s="549"/>
      <c r="AU512" s="782"/>
      <c r="AV512" s="782"/>
      <c r="AW512" s="782"/>
      <c r="AX512" s="782"/>
      <c r="AY512" s="782"/>
      <c r="AZ512" s="782"/>
      <c r="BA512" s="782"/>
      <c r="BB512" s="594"/>
      <c r="BC512" s="594"/>
      <c r="BE512" s="549"/>
      <c r="BF512" s="549"/>
      <c r="BG512" s="549"/>
      <c r="BH512" s="549"/>
      <c r="BI512" s="549"/>
      <c r="BJ512" s="782"/>
      <c r="BK512" s="782"/>
      <c r="BL512" s="782"/>
      <c r="BM512" s="782"/>
      <c r="BN512" s="782"/>
      <c r="BO512" s="782"/>
      <c r="BP512" s="782"/>
      <c r="BQ512" s="594"/>
      <c r="BR512" s="549"/>
    </row>
    <row r="513" spans="1:81" s="539" customFormat="1" ht="12.75" hidden="1" customHeight="1">
      <c r="A513" s="675"/>
      <c r="B513" s="549"/>
      <c r="C513" s="708" t="s">
        <v>1529</v>
      </c>
      <c r="D513" s="549"/>
      <c r="E513" s="759"/>
      <c r="F513" s="550"/>
      <c r="G513" s="550"/>
      <c r="H513" s="550"/>
      <c r="I513" s="550"/>
      <c r="J513" s="550"/>
      <c r="K513" s="550"/>
      <c r="L513" s="550"/>
      <c r="M513" s="550"/>
      <c r="N513" s="550"/>
      <c r="O513" s="550"/>
      <c r="P513" s="550"/>
      <c r="Q513" s="550"/>
      <c r="R513" s="550"/>
      <c r="S513" s="550"/>
      <c r="T513" s="550"/>
      <c r="U513" s="550"/>
      <c r="V513" s="550"/>
      <c r="W513" s="550"/>
      <c r="X513" s="550"/>
      <c r="Y513" s="550"/>
      <c r="Z513" s="550"/>
      <c r="AA513" s="550"/>
      <c r="AB513" s="550"/>
      <c r="AC513" s="550"/>
      <c r="AD513" s="549"/>
      <c r="AE513" s="549"/>
      <c r="AF513" s="549"/>
      <c r="AG513" s="550"/>
      <c r="AH513" s="550"/>
      <c r="AI513" s="550"/>
      <c r="AJ513" s="550"/>
      <c r="AK513" s="549"/>
      <c r="AL513" s="549"/>
      <c r="AM513" s="549"/>
      <c r="AN513" s="780"/>
      <c r="AO513" s="781"/>
      <c r="AP513" s="549"/>
      <c r="AQ513" s="549"/>
      <c r="AR513" s="549"/>
      <c r="AS513" s="549"/>
      <c r="AT513" s="549"/>
      <c r="AU513" s="782"/>
      <c r="AV513" s="782"/>
      <c r="AW513" s="782"/>
      <c r="AX513" s="782"/>
      <c r="AY513" s="782"/>
      <c r="AZ513" s="782"/>
      <c r="BA513" s="782"/>
      <c r="BB513" s="594"/>
      <c r="BC513" s="594"/>
      <c r="BE513" s="549"/>
      <c r="BF513" s="549"/>
      <c r="BG513" s="549"/>
      <c r="BH513" s="549"/>
      <c r="BI513" s="549"/>
      <c r="BJ513" s="782"/>
      <c r="BK513" s="782"/>
      <c r="BL513" s="782"/>
      <c r="BM513" s="782"/>
      <c r="BN513" s="782"/>
      <c r="BO513" s="782"/>
      <c r="BP513" s="782"/>
      <c r="BQ513" s="594"/>
      <c r="BR513" s="549"/>
    </row>
    <row r="514" spans="1:81" s="568" customFormat="1" ht="12.75" hidden="1" customHeight="1">
      <c r="A514" s="675"/>
      <c r="B514" s="549"/>
      <c r="C514" s="2412" t="s">
        <v>591</v>
      </c>
      <c r="D514" s="2413"/>
      <c r="E514" s="757" t="s">
        <v>507</v>
      </c>
      <c r="F514" s="2448" t="s">
        <v>1508</v>
      </c>
      <c r="G514" s="2448"/>
      <c r="H514" s="2448"/>
      <c r="I514" s="2448"/>
      <c r="J514" s="2448"/>
      <c r="K514" s="2448"/>
      <c r="L514" s="2448"/>
      <c r="M514" s="2448"/>
      <c r="N514" s="2448"/>
      <c r="O514" s="2448"/>
      <c r="P514" s="2448"/>
      <c r="Q514" s="2448"/>
      <c r="R514" s="2448"/>
      <c r="S514" s="2448"/>
      <c r="T514" s="2448"/>
      <c r="U514" s="2448"/>
      <c r="V514" s="2448"/>
      <c r="W514" s="2448"/>
      <c r="X514" s="2448"/>
      <c r="Y514" s="2448"/>
      <c r="Z514" s="2448"/>
      <c r="AA514" s="2448"/>
      <c r="AB514" s="2448"/>
      <c r="AC514" s="2448"/>
      <c r="AD514" s="2448"/>
      <c r="AE514" s="2448"/>
      <c r="AF514" s="710"/>
      <c r="AG514" s="712"/>
      <c r="AH514" s="712"/>
      <c r="AI514" s="712"/>
      <c r="AJ514" s="712"/>
      <c r="AK514" s="741"/>
      <c r="AL514" s="549"/>
      <c r="AM514" s="549"/>
      <c r="AN514" s="534"/>
      <c r="AO514" s="30"/>
      <c r="AP514" s="549"/>
      <c r="AQ514" s="549"/>
      <c r="AR514" s="549"/>
      <c r="AS514" s="549"/>
      <c r="AT514" s="549"/>
      <c r="AU514" s="783"/>
      <c r="AV514" s="783"/>
      <c r="AW514" s="783"/>
      <c r="AX514" s="783"/>
      <c r="AY514" s="783"/>
      <c r="AZ514" s="783"/>
      <c r="BA514" s="783"/>
      <c r="BB514" s="549"/>
      <c r="BC514" s="549"/>
      <c r="BD514" s="536"/>
      <c r="BE514" s="549"/>
      <c r="BF514" s="549"/>
      <c r="BG514" s="549"/>
      <c r="BH514" s="549"/>
      <c r="BI514" s="549"/>
      <c r="BJ514" s="783"/>
      <c r="BK514" s="783"/>
      <c r="BL514" s="783"/>
      <c r="BM514" s="783"/>
      <c r="BN514" s="783"/>
      <c r="BO514" s="783"/>
      <c r="BP514" s="783"/>
      <c r="BQ514" s="549"/>
      <c r="BR514" s="549"/>
      <c r="BS514" s="536"/>
      <c r="BT514" s="536"/>
      <c r="BU514" s="536"/>
      <c r="BV514" s="536"/>
      <c r="BW514" s="536"/>
      <c r="BX514" s="536"/>
      <c r="BY514" s="536"/>
      <c r="BZ514" s="536"/>
      <c r="CA514" s="536"/>
      <c r="CB514" s="536"/>
      <c r="CC514" s="536"/>
    </row>
    <row r="515" spans="1:81" s="568" customFormat="1" ht="12.75" hidden="1" customHeight="1">
      <c r="A515" s="675"/>
      <c r="B515" s="549"/>
      <c r="C515" s="758"/>
      <c r="D515" s="549"/>
      <c r="E515" s="759"/>
      <c r="F515" s="2449"/>
      <c r="G515" s="2449"/>
      <c r="H515" s="2449"/>
      <c r="I515" s="2449"/>
      <c r="J515" s="2449"/>
      <c r="K515" s="2449"/>
      <c r="L515" s="2449"/>
      <c r="M515" s="2449"/>
      <c r="N515" s="2449"/>
      <c r="O515" s="2449"/>
      <c r="P515" s="2449"/>
      <c r="Q515" s="2449"/>
      <c r="R515" s="2449"/>
      <c r="S515" s="2449"/>
      <c r="T515" s="2449"/>
      <c r="U515" s="2449"/>
      <c r="V515" s="2449"/>
      <c r="W515" s="2449"/>
      <c r="X515" s="2449"/>
      <c r="Y515" s="2449"/>
      <c r="Z515" s="2449"/>
      <c r="AA515" s="2449"/>
      <c r="AB515" s="2449"/>
      <c r="AC515" s="2449"/>
      <c r="AD515" s="2449"/>
      <c r="AE515" s="2449"/>
      <c r="AF515" s="549"/>
      <c r="AG515" s="550"/>
      <c r="AH515" s="550"/>
      <c r="AI515" s="550"/>
      <c r="AJ515" s="550"/>
      <c r="AK515" s="728"/>
      <c r="AL515" s="549"/>
      <c r="AM515" s="549"/>
      <c r="AN515" s="534"/>
      <c r="AO515" s="30"/>
      <c r="AP515" s="784"/>
      <c r="AQ515" s="784"/>
      <c r="AR515" s="784"/>
      <c r="AS515" s="675"/>
      <c r="AT515" s="549"/>
      <c r="AU515" s="785"/>
      <c r="AV515" s="785"/>
      <c r="AW515" s="785"/>
      <c r="AX515" s="785"/>
      <c r="AY515" s="785"/>
      <c r="AZ515" s="785"/>
      <c r="BA515" s="785"/>
      <c r="BB515" s="14"/>
      <c r="BC515" s="14"/>
      <c r="BD515" s="536"/>
      <c r="BE515" s="784"/>
      <c r="BF515" s="784"/>
      <c r="BG515" s="784"/>
      <c r="BH515" s="675"/>
      <c r="BI515" s="549"/>
      <c r="BJ515" s="786"/>
      <c r="BK515" s="785"/>
      <c r="BL515" s="785"/>
      <c r="BM515" s="785"/>
      <c r="BN515" s="785"/>
      <c r="BO515" s="785"/>
      <c r="BP515" s="785"/>
      <c r="BQ515" s="14"/>
      <c r="BR515" s="549"/>
      <c r="BS515" s="536"/>
      <c r="BT515" s="536"/>
      <c r="BU515" s="536"/>
      <c r="BV515" s="536"/>
      <c r="BW515" s="536"/>
      <c r="BX515" s="536"/>
      <c r="BY515" s="536"/>
      <c r="BZ515" s="536"/>
      <c r="CA515" s="536"/>
      <c r="CB515" s="536"/>
      <c r="CC515" s="536"/>
    </row>
    <row r="516" spans="1:81" s="568" customFormat="1" ht="12.75" hidden="1" customHeight="1">
      <c r="A516" s="675"/>
      <c r="B516" s="549"/>
      <c r="C516" s="760"/>
      <c r="D516" s="723"/>
      <c r="E516" s="761"/>
      <c r="F516" s="2441" t="s">
        <v>591</v>
      </c>
      <c r="G516" s="2441"/>
      <c r="H516" s="2441"/>
      <c r="I516" s="2441"/>
      <c r="J516" s="2441"/>
      <c r="K516" s="2441"/>
      <c r="L516" s="2441"/>
      <c r="M516" s="2441"/>
      <c r="N516" s="2441"/>
      <c r="O516" s="2441"/>
      <c r="P516" s="2441"/>
      <c r="Q516" s="2441"/>
      <c r="R516" s="2441"/>
      <c r="S516" s="2441"/>
      <c r="T516" s="2441"/>
      <c r="U516" s="2441"/>
      <c r="V516" s="2441"/>
      <c r="W516" s="2441"/>
      <c r="X516" s="2441"/>
      <c r="Y516" s="2441"/>
      <c r="Z516" s="2441"/>
      <c r="AA516" s="762"/>
      <c r="AB516" s="654"/>
      <c r="AC516" s="654"/>
      <c r="AD516" s="723"/>
      <c r="AE516" s="723"/>
      <c r="AF516" s="723"/>
      <c r="AG516" s="763">
        <f>IF($C$514="Yes",(VLOOKUP($F$516,$AO$484:$AP$492,2,FALSE)),0)</f>
        <v>0</v>
      </c>
      <c r="AH516" s="764" t="s">
        <v>1322</v>
      </c>
      <c r="AI516" s="763"/>
      <c r="AJ516" s="654"/>
      <c r="AK516" s="738"/>
      <c r="AL516" s="549"/>
      <c r="AM516" s="549"/>
      <c r="AN516" s="534"/>
      <c r="AO516" s="30"/>
      <c r="AP516" s="784"/>
      <c r="AQ516" s="784"/>
      <c r="AR516" s="784"/>
      <c r="AS516" s="675"/>
      <c r="AT516" s="549"/>
      <c r="AU516" s="785"/>
      <c r="AV516" s="785"/>
      <c r="AW516" s="785"/>
      <c r="AX516" s="785"/>
      <c r="AY516" s="785"/>
      <c r="AZ516" s="785"/>
      <c r="BA516" s="785"/>
      <c r="BB516" s="14"/>
      <c r="BC516" s="14"/>
      <c r="BD516" s="536"/>
      <c r="BE516" s="784"/>
      <c r="BF516" s="784"/>
      <c r="BG516" s="784"/>
      <c r="BH516" s="675"/>
      <c r="BI516" s="549"/>
      <c r="BJ516" s="786"/>
      <c r="BK516" s="785"/>
      <c r="BL516" s="785"/>
      <c r="BM516" s="785"/>
      <c r="BN516" s="785"/>
      <c r="BO516" s="785"/>
      <c r="BP516" s="785"/>
      <c r="BQ516" s="14"/>
      <c r="BR516" s="549"/>
      <c r="BS516" s="536"/>
      <c r="BT516" s="536"/>
      <c r="BU516" s="536"/>
      <c r="BV516" s="536"/>
      <c r="BW516" s="536"/>
      <c r="BX516" s="536"/>
      <c r="BY516" s="536"/>
      <c r="BZ516" s="536"/>
      <c r="CA516" s="536"/>
      <c r="CB516" s="536"/>
      <c r="CC516" s="536"/>
    </row>
    <row r="517" spans="1:81" s="568" customFormat="1" ht="12.75" hidden="1" customHeight="1">
      <c r="A517" s="675"/>
      <c r="B517" s="549"/>
      <c r="C517" s="708"/>
      <c r="D517" s="549"/>
      <c r="E517" s="759"/>
      <c r="F517" s="550"/>
      <c r="G517" s="550"/>
      <c r="H517" s="550"/>
      <c r="I517" s="550"/>
      <c r="J517" s="550"/>
      <c r="K517" s="550"/>
      <c r="L517" s="550"/>
      <c r="M517" s="550"/>
      <c r="N517" s="550"/>
      <c r="O517" s="550"/>
      <c r="P517" s="550"/>
      <c r="Q517" s="550"/>
      <c r="R517" s="550"/>
      <c r="S517" s="550"/>
      <c r="T517" s="550"/>
      <c r="U517" s="550"/>
      <c r="V517" s="550"/>
      <c r="W517" s="550"/>
      <c r="X517" s="550"/>
      <c r="Y517" s="550"/>
      <c r="Z517" s="550"/>
      <c r="AA517" s="550"/>
      <c r="AB517" s="550"/>
      <c r="AC517" s="550"/>
      <c r="AD517" s="549"/>
      <c r="AE517" s="549"/>
      <c r="AF517" s="549"/>
      <c r="AG517" s="550"/>
      <c r="AH517" s="550"/>
      <c r="AI517" s="550"/>
      <c r="AJ517" s="550"/>
      <c r="AK517" s="549"/>
      <c r="AL517" s="549"/>
      <c r="AM517" s="549"/>
      <c r="AN517" s="534"/>
      <c r="AO517" s="30"/>
      <c r="AP517" s="784"/>
      <c r="AQ517" s="784"/>
      <c r="AR517" s="784"/>
      <c r="AS517" s="675"/>
      <c r="AT517" s="549"/>
      <c r="AU517" s="785"/>
      <c r="AV517" s="785"/>
      <c r="AW517" s="785"/>
      <c r="AX517" s="785"/>
      <c r="AY517" s="785"/>
      <c r="AZ517" s="785"/>
      <c r="BA517" s="785"/>
      <c r="BB517" s="14"/>
      <c r="BC517" s="14"/>
      <c r="BD517" s="536"/>
      <c r="BE517" s="784"/>
      <c r="BF517" s="784"/>
      <c r="BG517" s="784"/>
      <c r="BH517" s="675"/>
      <c r="BI517" s="549"/>
      <c r="BJ517" s="786"/>
      <c r="BK517" s="785"/>
      <c r="BL517" s="785"/>
      <c r="BM517" s="785"/>
      <c r="BN517" s="785"/>
      <c r="BO517" s="785"/>
      <c r="BP517" s="785"/>
      <c r="BQ517" s="14"/>
      <c r="BR517" s="549"/>
      <c r="BS517" s="536"/>
      <c r="BT517" s="536"/>
      <c r="BU517" s="536"/>
      <c r="BV517" s="536"/>
      <c r="BW517" s="536"/>
      <c r="BX517" s="536"/>
      <c r="BY517" s="536"/>
      <c r="BZ517" s="536"/>
      <c r="CA517" s="536"/>
      <c r="CB517" s="536"/>
      <c r="CC517" s="536"/>
    </row>
    <row r="518" spans="1:81" s="568" customFormat="1" ht="12.75" hidden="1" customHeight="1">
      <c r="A518" s="549"/>
      <c r="B518" s="549"/>
      <c r="C518" s="2412" t="s">
        <v>591</v>
      </c>
      <c r="D518" s="2413"/>
      <c r="E518" s="757" t="s">
        <v>757</v>
      </c>
      <c r="F518" s="2442" t="s">
        <v>1530</v>
      </c>
      <c r="G518" s="2442"/>
      <c r="H518" s="2442"/>
      <c r="I518" s="2442"/>
      <c r="J518" s="2442"/>
      <c r="K518" s="2442"/>
      <c r="L518" s="2442"/>
      <c r="M518" s="2442"/>
      <c r="N518" s="2442"/>
      <c r="O518" s="2442"/>
      <c r="P518" s="2442"/>
      <c r="Q518" s="2442"/>
      <c r="R518" s="2442"/>
      <c r="S518" s="2442"/>
      <c r="T518" s="2442"/>
      <c r="U518" s="2442"/>
      <c r="V518" s="2442"/>
      <c r="W518" s="2442"/>
      <c r="X518" s="2442"/>
      <c r="Y518" s="2442"/>
      <c r="Z518" s="2442"/>
      <c r="AA518" s="2442"/>
      <c r="AB518" s="2442"/>
      <c r="AC518" s="2442"/>
      <c r="AD518" s="2442"/>
      <c r="AE518" s="2442"/>
      <c r="AF518" s="710"/>
      <c r="AG518" s="645"/>
      <c r="AH518" s="645"/>
      <c r="AI518" s="645"/>
      <c r="AJ518" s="645"/>
      <c r="AK518" s="741"/>
      <c r="AL518" s="549"/>
      <c r="AM518" s="549"/>
      <c r="AN518" s="534"/>
      <c r="AO518" s="30"/>
      <c r="AP518" s="784"/>
      <c r="AQ518" s="784"/>
      <c r="AR518" s="784"/>
      <c r="AS518" s="675"/>
      <c r="AT518" s="549"/>
      <c r="AU518" s="785"/>
      <c r="AV518" s="785"/>
      <c r="AW518" s="785"/>
      <c r="AX518" s="785"/>
      <c r="AY518" s="785"/>
      <c r="AZ518" s="785"/>
      <c r="BA518" s="785"/>
      <c r="BB518" s="14"/>
      <c r="BC518" s="14"/>
      <c r="BD518" s="536"/>
      <c r="BE518" s="784"/>
      <c r="BF518" s="784"/>
      <c r="BG518" s="784"/>
      <c r="BH518" s="675"/>
      <c r="BI518" s="549"/>
      <c r="BJ518" s="786"/>
      <c r="BK518" s="785"/>
      <c r="BL518" s="785"/>
      <c r="BM518" s="785"/>
      <c r="BN518" s="785"/>
      <c r="BO518" s="785"/>
      <c r="BP518" s="785"/>
      <c r="BQ518" s="14"/>
      <c r="BR518" s="549"/>
      <c r="BS518" s="536"/>
      <c r="BT518" s="536"/>
      <c r="BU518" s="536"/>
      <c r="BV518" s="536"/>
      <c r="BW518" s="536"/>
      <c r="BX518" s="536"/>
      <c r="BY518" s="536"/>
      <c r="BZ518" s="536"/>
      <c r="CA518" s="536"/>
      <c r="CB518" s="536"/>
      <c r="CC518" s="536"/>
    </row>
    <row r="519" spans="1:81" s="568" customFormat="1" ht="12.75" hidden="1" customHeight="1">
      <c r="A519" s="549"/>
      <c r="B519" s="549"/>
      <c r="C519" s="758"/>
      <c r="D519" s="549"/>
      <c r="E519" s="759"/>
      <c r="F519" s="2443"/>
      <c r="G519" s="2443"/>
      <c r="H519" s="2443"/>
      <c r="I519" s="2443"/>
      <c r="J519" s="2443"/>
      <c r="K519" s="2443"/>
      <c r="L519" s="2443"/>
      <c r="M519" s="2443"/>
      <c r="N519" s="2443"/>
      <c r="O519" s="2443"/>
      <c r="P519" s="2443"/>
      <c r="Q519" s="2443"/>
      <c r="R519" s="2443"/>
      <c r="S519" s="2443"/>
      <c r="T519" s="2443"/>
      <c r="U519" s="2443"/>
      <c r="V519" s="2443"/>
      <c r="W519" s="2443"/>
      <c r="X519" s="2443"/>
      <c r="Y519" s="2443"/>
      <c r="Z519" s="2443"/>
      <c r="AA519" s="2443"/>
      <c r="AB519" s="2443"/>
      <c r="AC519" s="2443"/>
      <c r="AD519" s="2443"/>
      <c r="AE519" s="2443"/>
      <c r="AF519" s="549"/>
      <c r="AG519" s="550"/>
      <c r="AH519" s="550"/>
      <c r="AI519" s="550"/>
      <c r="AJ519" s="550"/>
      <c r="AK519" s="728"/>
      <c r="AL519" s="549"/>
      <c r="AM519" s="549"/>
      <c r="AN519" s="534"/>
      <c r="AO519" s="30"/>
      <c r="AP519" s="784"/>
      <c r="AQ519" s="784"/>
      <c r="AR519" s="784"/>
      <c r="AS519" s="675"/>
      <c r="AT519" s="549"/>
      <c r="AU519" s="785"/>
      <c r="AV519" s="785"/>
      <c r="AW519" s="785"/>
      <c r="AX519" s="785"/>
      <c r="AY519" s="785"/>
      <c r="AZ519" s="785"/>
      <c r="BA519" s="785"/>
      <c r="BB519" s="14"/>
      <c r="BC519" s="14"/>
      <c r="BD519" s="536"/>
      <c r="BE519" s="784"/>
      <c r="BF519" s="784"/>
      <c r="BG519" s="784"/>
      <c r="BH519" s="675"/>
      <c r="BI519" s="549"/>
      <c r="BJ519" s="786"/>
      <c r="BK519" s="785"/>
      <c r="BL519" s="785"/>
      <c r="BM519" s="785"/>
      <c r="BN519" s="785"/>
      <c r="BO519" s="785"/>
      <c r="BP519" s="785"/>
      <c r="BQ519" s="14"/>
      <c r="BR519" s="549"/>
      <c r="BS519" s="536"/>
      <c r="BT519" s="536"/>
      <c r="BU519" s="536"/>
      <c r="BV519" s="536"/>
      <c r="BW519" s="536"/>
      <c r="BX519" s="536"/>
      <c r="BY519" s="536"/>
      <c r="BZ519" s="536"/>
      <c r="CA519" s="536"/>
      <c r="CB519" s="536"/>
      <c r="CC519" s="536"/>
    </row>
    <row r="520" spans="1:81" s="568" customFormat="1" ht="12.75" hidden="1" customHeight="1">
      <c r="A520" s="549"/>
      <c r="B520" s="549"/>
      <c r="C520" s="735"/>
      <c r="D520" s="549"/>
      <c r="E520" s="549"/>
      <c r="F520" s="778" t="s">
        <v>1531</v>
      </c>
      <c r="G520" s="550"/>
      <c r="H520" s="550"/>
      <c r="I520" s="550"/>
      <c r="J520" s="550"/>
      <c r="K520" s="550"/>
      <c r="L520" s="550"/>
      <c r="M520" s="550"/>
      <c r="N520" s="550"/>
      <c r="O520" s="550"/>
      <c r="P520" s="550"/>
      <c r="Q520" s="550"/>
      <c r="R520" s="550"/>
      <c r="S520" s="550"/>
      <c r="T520" s="550"/>
      <c r="U520" s="550"/>
      <c r="V520" s="550"/>
      <c r="W520" s="550"/>
      <c r="X520" s="550"/>
      <c r="Y520" s="550"/>
      <c r="Z520" s="550"/>
      <c r="AA520" s="550"/>
      <c r="AB520" s="550"/>
      <c r="AC520" s="589"/>
      <c r="AD520" s="549"/>
      <c r="AE520" s="549"/>
      <c r="AF520" s="549"/>
      <c r="AG520" s="611"/>
      <c r="AH520" s="611"/>
      <c r="AI520" s="611"/>
      <c r="AJ520" s="611"/>
      <c r="AK520" s="728"/>
      <c r="AL520" s="549"/>
      <c r="AM520" s="549"/>
      <c r="AN520" s="534"/>
      <c r="AO520" s="536"/>
      <c r="AP520" s="784"/>
      <c r="AQ520" s="784"/>
      <c r="AR520" s="784"/>
      <c r="AS520" s="675"/>
      <c r="AT520" s="549"/>
      <c r="AU520" s="785"/>
      <c r="AV520" s="785"/>
      <c r="AW520" s="785"/>
      <c r="AX520" s="785"/>
      <c r="AY520" s="785"/>
      <c r="AZ520" s="785"/>
      <c r="BA520" s="785"/>
      <c r="BB520" s="536"/>
      <c r="BC520" s="536"/>
      <c r="BD520" s="536"/>
      <c r="BE520" s="784"/>
      <c r="BF520" s="784"/>
      <c r="BG520" s="784"/>
      <c r="BH520" s="675"/>
      <c r="BI520" s="549"/>
      <c r="BJ520" s="786"/>
      <c r="BK520" s="785"/>
      <c r="BL520" s="785"/>
      <c r="BM520" s="785"/>
      <c r="BN520" s="785"/>
      <c r="BO520" s="785"/>
      <c r="BP520" s="785"/>
      <c r="BQ520" s="536"/>
      <c r="BR520" s="549"/>
      <c r="BS520" s="536"/>
      <c r="BT520" s="536"/>
      <c r="BU520" s="536"/>
      <c r="BV520" s="536"/>
      <c r="BW520" s="536"/>
      <c r="BX520" s="536"/>
      <c r="BY520" s="536"/>
      <c r="BZ520" s="536"/>
      <c r="CA520" s="536"/>
      <c r="CB520" s="536"/>
      <c r="CC520" s="536"/>
    </row>
    <row r="521" spans="1:81" s="568" customFormat="1" hidden="1">
      <c r="A521" s="549"/>
      <c r="B521" s="549"/>
      <c r="C521" s="760"/>
      <c r="D521" s="723"/>
      <c r="E521" s="761"/>
      <c r="F521" s="2444" t="s">
        <v>591</v>
      </c>
      <c r="G521" s="2444"/>
      <c r="H521" s="2444"/>
      <c r="I521" s="654"/>
      <c r="J521" s="654"/>
      <c r="K521" s="654"/>
      <c r="L521" s="654"/>
      <c r="M521" s="654"/>
      <c r="N521" s="654"/>
      <c r="O521" s="654"/>
      <c r="P521" s="654"/>
      <c r="Q521" s="654"/>
      <c r="R521" s="654"/>
      <c r="S521" s="654"/>
      <c r="T521" s="654"/>
      <c r="U521" s="654"/>
      <c r="V521" s="654"/>
      <c r="W521" s="654"/>
      <c r="X521" s="654"/>
      <c r="Y521" s="654"/>
      <c r="Z521" s="654"/>
      <c r="AA521" s="654"/>
      <c r="AB521" s="654"/>
      <c r="AC521" s="654"/>
      <c r="AD521" s="723"/>
      <c r="AE521" s="723"/>
      <c r="AF521" s="723"/>
      <c r="AG521" s="763">
        <f>IF($C$518="Yes",(VLOOKUP($F$521,$AO$494:$AP$496,2,FALSE)),0)</f>
        <v>0</v>
      </c>
      <c r="AH521" s="764" t="s">
        <v>1322</v>
      </c>
      <c r="AI521" s="654"/>
      <c r="AJ521" s="654"/>
      <c r="AK521" s="738"/>
      <c r="AL521" s="549"/>
      <c r="AM521" s="549"/>
      <c r="AN521" s="534"/>
      <c r="AO521" s="536"/>
      <c r="AP521" s="784"/>
      <c r="AQ521" s="784"/>
      <c r="AR521" s="784"/>
      <c r="AS521" s="783"/>
      <c r="AT521" s="549"/>
      <c r="AU521" s="785"/>
      <c r="AV521" s="785"/>
      <c r="AW521" s="785"/>
      <c r="AX521" s="785"/>
      <c r="AY521" s="785"/>
      <c r="AZ521" s="785"/>
      <c r="BA521" s="785"/>
      <c r="BB521" s="536"/>
      <c r="BC521" s="536"/>
      <c r="BD521" s="536"/>
      <c r="BE521" s="784"/>
      <c r="BF521" s="784"/>
      <c r="BG521" s="784"/>
      <c r="BH521" s="783"/>
      <c r="BI521" s="549"/>
      <c r="BJ521" s="786"/>
      <c r="BK521" s="785"/>
      <c r="BL521" s="785"/>
      <c r="BM521" s="785"/>
      <c r="BN521" s="785"/>
      <c r="BO521" s="785"/>
      <c r="BP521" s="785"/>
      <c r="BQ521" s="536"/>
      <c r="BR521" s="549"/>
      <c r="BS521" s="536"/>
      <c r="BT521" s="536"/>
      <c r="BU521" s="536"/>
      <c r="BV521" s="536"/>
      <c r="BW521" s="536"/>
      <c r="BX521" s="536"/>
      <c r="BY521" s="536"/>
      <c r="BZ521" s="536"/>
      <c r="CA521" s="536"/>
      <c r="CB521" s="536"/>
      <c r="CC521" s="536"/>
    </row>
    <row r="522" spans="1:81" s="568" customFormat="1" hidden="1">
      <c r="A522" s="550"/>
      <c r="B522" s="550"/>
      <c r="C522" s="550"/>
      <c r="D522" s="550"/>
      <c r="E522" s="550"/>
      <c r="F522" s="550"/>
      <c r="G522" s="550"/>
      <c r="H522" s="550"/>
      <c r="I522" s="550"/>
      <c r="J522" s="550"/>
      <c r="K522" s="550"/>
      <c r="L522" s="550"/>
      <c r="M522" s="550"/>
      <c r="N522" s="550"/>
      <c r="O522" s="550"/>
      <c r="P522" s="550"/>
      <c r="Q522" s="550"/>
      <c r="R522" s="550"/>
      <c r="S522" s="550"/>
      <c r="T522" s="550"/>
      <c r="U522" s="550"/>
      <c r="V522" s="550"/>
      <c r="W522" s="550"/>
      <c r="X522" s="550"/>
      <c r="Y522" s="550"/>
      <c r="Z522" s="550"/>
      <c r="AA522" s="550"/>
      <c r="AB522" s="550"/>
      <c r="AC522" s="550"/>
      <c r="AD522" s="550"/>
      <c r="AE522" s="549"/>
      <c r="AF522" s="549"/>
      <c r="AG522" s="611"/>
      <c r="AH522" s="638"/>
      <c r="AI522" s="550"/>
      <c r="AJ522" s="550"/>
      <c r="AK522" s="549"/>
      <c r="AL522" s="549"/>
      <c r="AM522" s="549"/>
      <c r="AN522" s="534"/>
      <c r="AO522" s="536"/>
      <c r="AP522" s="784"/>
      <c r="AQ522" s="784"/>
      <c r="AR522" s="784"/>
      <c r="AS522" s="783"/>
      <c r="AT522" s="549"/>
      <c r="AU522" s="785"/>
      <c r="AV522" s="785"/>
      <c r="AW522" s="785"/>
      <c r="AX522" s="785"/>
      <c r="AY522" s="785"/>
      <c r="AZ522" s="785"/>
      <c r="BA522" s="785"/>
      <c r="BB522" s="536"/>
      <c r="BC522" s="536"/>
      <c r="BD522" s="536"/>
      <c r="BE522" s="784"/>
      <c r="BF522" s="784"/>
      <c r="BG522" s="784"/>
      <c r="BH522" s="783"/>
      <c r="BI522" s="549"/>
      <c r="BJ522" s="786"/>
      <c r="BK522" s="785"/>
      <c r="BL522" s="785"/>
      <c r="BM522" s="785"/>
      <c r="BN522" s="785"/>
      <c r="BO522" s="785"/>
      <c r="BP522" s="785"/>
      <c r="BQ522" s="536"/>
      <c r="BR522" s="549"/>
      <c r="BS522" s="536"/>
      <c r="BT522" s="536"/>
      <c r="BU522" s="536"/>
      <c r="BV522" s="536"/>
      <c r="BW522" s="536"/>
      <c r="BX522" s="536"/>
      <c r="BY522" s="536"/>
      <c r="BZ522" s="536"/>
      <c r="CA522" s="536"/>
      <c r="CB522" s="536"/>
      <c r="CC522" s="536"/>
    </row>
    <row r="523" spans="1:81" s="568" customFormat="1" hidden="1">
      <c r="A523" s="549"/>
      <c r="B523" s="549"/>
      <c r="C523" s="2412" t="s">
        <v>591</v>
      </c>
      <c r="D523" s="2413"/>
      <c r="E523" s="757" t="s">
        <v>1532</v>
      </c>
      <c r="F523" s="776" t="s">
        <v>1533</v>
      </c>
      <c r="G523" s="645"/>
      <c r="H523" s="645"/>
      <c r="I523" s="645"/>
      <c r="J523" s="645"/>
      <c r="K523" s="645"/>
      <c r="L523" s="645"/>
      <c r="M523" s="645"/>
      <c r="N523" s="645"/>
      <c r="O523" s="645"/>
      <c r="P523" s="645"/>
      <c r="Q523" s="645"/>
      <c r="R523" s="645"/>
      <c r="S523" s="645"/>
      <c r="T523" s="645"/>
      <c r="U523" s="645"/>
      <c r="V523" s="645"/>
      <c r="W523" s="645"/>
      <c r="X523" s="645"/>
      <c r="Y523" s="645"/>
      <c r="Z523" s="645"/>
      <c r="AA523" s="645"/>
      <c r="AB523" s="645"/>
      <c r="AC523" s="787"/>
      <c r="AD523" s="710"/>
      <c r="AE523" s="710"/>
      <c r="AF523" s="710"/>
      <c r="AG523" s="788"/>
      <c r="AH523" s="788"/>
      <c r="AI523" s="788"/>
      <c r="AJ523" s="788"/>
      <c r="AK523" s="741"/>
      <c r="AL523" s="549"/>
      <c r="AM523" s="549"/>
      <c r="AN523" s="534"/>
      <c r="AO523" s="536"/>
      <c r="AP523" s="784"/>
      <c r="AQ523" s="784"/>
      <c r="AR523" s="784"/>
      <c r="AS523" s="783"/>
      <c r="AT523" s="549"/>
      <c r="AU523" s="785"/>
      <c r="AV523" s="785"/>
      <c r="AW523" s="785"/>
      <c r="AX523" s="785"/>
      <c r="AY523" s="785"/>
      <c r="AZ523" s="785"/>
      <c r="BA523" s="785"/>
      <c r="BB523" s="536"/>
      <c r="BC523" s="536"/>
      <c r="BD523" s="536"/>
      <c r="BE523" s="784"/>
      <c r="BF523" s="784"/>
      <c r="BG523" s="784"/>
      <c r="BH523" s="783"/>
      <c r="BI523" s="549"/>
      <c r="BJ523" s="786"/>
      <c r="BK523" s="785"/>
      <c r="BL523" s="785"/>
      <c r="BM523" s="785"/>
      <c r="BN523" s="785"/>
      <c r="BO523" s="785"/>
      <c r="BP523" s="785"/>
      <c r="BQ523" s="536"/>
      <c r="BR523" s="549"/>
      <c r="BS523" s="536"/>
      <c r="BT523" s="536"/>
      <c r="BU523" s="536"/>
      <c r="BV523" s="536"/>
      <c r="BW523" s="536"/>
      <c r="BX523" s="536"/>
      <c r="BY523" s="536"/>
      <c r="BZ523" s="536"/>
      <c r="CA523" s="536"/>
      <c r="CB523" s="536"/>
      <c r="CC523" s="536"/>
    </row>
    <row r="524" spans="1:81" s="568" customFormat="1" hidden="1">
      <c r="A524" s="549"/>
      <c r="B524" s="549"/>
      <c r="C524" s="758"/>
      <c r="D524" s="549"/>
      <c r="E524" s="759"/>
      <c r="F524" s="550"/>
      <c r="G524" s="550"/>
      <c r="H524" s="550"/>
      <c r="I524" s="550"/>
      <c r="J524" s="550"/>
      <c r="K524" s="550"/>
      <c r="L524" s="550"/>
      <c r="M524" s="550"/>
      <c r="N524" s="550"/>
      <c r="O524" s="550"/>
      <c r="P524" s="550"/>
      <c r="Q524" s="550"/>
      <c r="R524" s="550"/>
      <c r="S524" s="550"/>
      <c r="T524" s="550"/>
      <c r="U524" s="550"/>
      <c r="V524" s="550"/>
      <c r="W524" s="550"/>
      <c r="X524" s="550"/>
      <c r="Y524" s="550"/>
      <c r="Z524" s="550"/>
      <c r="AA524" s="550"/>
      <c r="AB524" s="550"/>
      <c r="AC524" s="550"/>
      <c r="AD524" s="549"/>
      <c r="AE524" s="549"/>
      <c r="AF524" s="549"/>
      <c r="AG524" s="550"/>
      <c r="AH524" s="550"/>
      <c r="AI524" s="550"/>
      <c r="AJ524" s="550"/>
      <c r="AK524" s="728"/>
      <c r="AL524" s="549"/>
      <c r="AM524" s="549"/>
      <c r="AN524" s="534"/>
      <c r="AO524" s="536"/>
      <c r="AP524" s="784"/>
      <c r="AQ524" s="784"/>
      <c r="AR524" s="784"/>
      <c r="AS524" s="783"/>
      <c r="AT524" s="549"/>
      <c r="AU524" s="785"/>
      <c r="AV524" s="785"/>
      <c r="AW524" s="785"/>
      <c r="AX524" s="785"/>
      <c r="AY524" s="785"/>
      <c r="AZ524" s="785"/>
      <c r="BA524" s="785"/>
      <c r="BB524" s="536"/>
      <c r="BC524" s="536"/>
      <c r="BD524" s="536"/>
      <c r="BE524" s="784"/>
      <c r="BF524" s="784"/>
      <c r="BG524" s="784"/>
      <c r="BH524" s="783"/>
      <c r="BI524" s="549"/>
      <c r="BJ524" s="786"/>
      <c r="BK524" s="785"/>
      <c r="BL524" s="785"/>
      <c r="BM524" s="785"/>
      <c r="BN524" s="785"/>
      <c r="BO524" s="785"/>
      <c r="BP524" s="785"/>
      <c r="BQ524" s="536"/>
      <c r="BR524" s="14"/>
      <c r="BS524" s="536"/>
      <c r="BT524" s="536"/>
      <c r="BU524" s="536"/>
      <c r="BV524" s="536"/>
      <c r="BW524" s="536"/>
      <c r="BX524" s="536"/>
      <c r="BY524" s="536"/>
      <c r="BZ524" s="536"/>
      <c r="CA524" s="536"/>
      <c r="CB524" s="536"/>
      <c r="CC524" s="536"/>
    </row>
    <row r="525" spans="1:81" s="568" customFormat="1" hidden="1">
      <c r="A525" s="549"/>
      <c r="B525" s="549"/>
      <c r="C525" s="2470"/>
      <c r="D525" s="2414"/>
      <c r="E525" s="768"/>
      <c r="F525" s="550" t="s">
        <v>1534</v>
      </c>
      <c r="G525" s="550"/>
      <c r="H525" s="550"/>
      <c r="I525" s="550"/>
      <c r="J525" s="550"/>
      <c r="K525" s="550"/>
      <c r="L525" s="550"/>
      <c r="M525" s="550"/>
      <c r="N525" s="550"/>
      <c r="O525" s="550"/>
      <c r="P525" s="550"/>
      <c r="Q525" s="550"/>
      <c r="R525" s="550"/>
      <c r="S525" s="550"/>
      <c r="T525" s="550"/>
      <c r="U525" s="550"/>
      <c r="V525" s="550"/>
      <c r="W525" s="550"/>
      <c r="X525" s="550"/>
      <c r="Y525" s="550"/>
      <c r="Z525" s="550"/>
      <c r="AA525" s="550"/>
      <c r="AB525" s="550"/>
      <c r="AC525" s="589"/>
      <c r="AD525" s="549"/>
      <c r="AE525" s="549"/>
      <c r="AF525" s="549"/>
      <c r="AG525" s="611">
        <f>IF($C$523="Yes",(VLOOKUP($G$526,$AO$501:$AP$504,2,FALSE)),0)</f>
        <v>0</v>
      </c>
      <c r="AH525" s="638" t="s">
        <v>1322</v>
      </c>
      <c r="AI525" s="550"/>
      <c r="AJ525" s="611"/>
      <c r="AK525" s="728"/>
      <c r="AL525" s="549"/>
      <c r="AM525" s="549"/>
      <c r="AN525" s="534"/>
      <c r="AO525" s="536"/>
      <c r="AP525" s="784"/>
      <c r="AQ525" s="784"/>
      <c r="AR525" s="784"/>
      <c r="AS525" s="783"/>
      <c r="AT525" s="549"/>
      <c r="AU525" s="785"/>
      <c r="AV525" s="785"/>
      <c r="AW525" s="785"/>
      <c r="AX525" s="785"/>
      <c r="AY525" s="785"/>
      <c r="AZ525" s="785"/>
      <c r="BA525" s="785"/>
      <c r="BB525" s="536"/>
      <c r="BC525" s="536"/>
      <c r="BD525" s="536"/>
      <c r="BE525" s="784"/>
      <c r="BF525" s="784"/>
      <c r="BG525" s="784"/>
      <c r="BH525" s="783"/>
      <c r="BI525" s="549"/>
      <c r="BJ525" s="786"/>
      <c r="BK525" s="785"/>
      <c r="BL525" s="785"/>
      <c r="BM525" s="785"/>
      <c r="BN525" s="785"/>
      <c r="BO525" s="785"/>
      <c r="BP525" s="785"/>
      <c r="BQ525" s="536"/>
      <c r="BR525" s="549"/>
      <c r="BS525" s="536"/>
      <c r="BT525" s="536"/>
      <c r="BU525" s="536"/>
      <c r="BV525" s="536"/>
      <c r="BW525" s="536"/>
      <c r="BX525" s="536"/>
      <c r="BY525" s="536"/>
      <c r="BZ525" s="536"/>
      <c r="CA525" s="536"/>
      <c r="CB525" s="536"/>
      <c r="CC525" s="536"/>
    </row>
    <row r="526" spans="1:81" s="568" customFormat="1" hidden="1">
      <c r="A526" s="549"/>
      <c r="B526" s="549"/>
      <c r="C526" s="758"/>
      <c r="D526" s="549"/>
      <c r="E526" s="759"/>
      <c r="F526" s="550"/>
      <c r="G526" s="2471" t="s">
        <v>591</v>
      </c>
      <c r="H526" s="2471"/>
      <c r="I526" s="2471"/>
      <c r="J526" s="2471"/>
      <c r="K526" s="2471"/>
      <c r="L526" s="2471"/>
      <c r="M526" s="2471"/>
      <c r="N526" s="2471"/>
      <c r="O526" s="2471"/>
      <c r="P526" s="2471"/>
      <c r="Q526" s="2471"/>
      <c r="R526" s="2471"/>
      <c r="S526" s="2471"/>
      <c r="T526" s="2471"/>
      <c r="U526" s="2471"/>
      <c r="V526" s="2471"/>
      <c r="W526" s="2471"/>
      <c r="X526" s="2471"/>
      <c r="Y526" s="2471"/>
      <c r="Z526" s="2471"/>
      <c r="AA526" s="2471"/>
      <c r="AB526" s="2471"/>
      <c r="AC526" s="2471"/>
      <c r="AD526" s="2471"/>
      <c r="AE526" s="2471"/>
      <c r="AF526" s="2471"/>
      <c r="AG526" s="549"/>
      <c r="AH526" s="549"/>
      <c r="AI526" s="549"/>
      <c r="AJ526" s="550"/>
      <c r="AK526" s="728"/>
      <c r="AL526" s="549"/>
      <c r="AM526" s="549"/>
      <c r="AN526" s="534"/>
      <c r="AO526" s="536"/>
      <c r="AP526" s="784"/>
      <c r="AQ526" s="784"/>
      <c r="AR526" s="784"/>
      <c r="AS526" s="783"/>
      <c r="AT526" s="549"/>
      <c r="AU526" s="785"/>
      <c r="AV526" s="785"/>
      <c r="AW526" s="785"/>
      <c r="AX526" s="785"/>
      <c r="AY526" s="785"/>
      <c r="AZ526" s="785"/>
      <c r="BA526" s="785"/>
      <c r="BB526" s="536"/>
      <c r="BC526" s="536"/>
      <c r="BD526" s="536"/>
      <c r="BE526" s="784"/>
      <c r="BF526" s="784"/>
      <c r="BG526" s="784"/>
      <c r="BH526" s="783"/>
      <c r="BI526" s="549"/>
      <c r="BJ526" s="786"/>
      <c r="BK526" s="785"/>
      <c r="BL526" s="785"/>
      <c r="BM526" s="785"/>
      <c r="BN526" s="785"/>
      <c r="BO526" s="785"/>
      <c r="BP526" s="785"/>
      <c r="BQ526" s="536"/>
      <c r="BR526" s="549"/>
      <c r="BS526" s="536"/>
      <c r="BT526" s="536"/>
      <c r="BU526" s="536"/>
      <c r="BV526" s="536"/>
      <c r="BW526" s="536"/>
      <c r="BX526" s="536"/>
      <c r="BY526" s="536"/>
      <c r="BZ526" s="536"/>
      <c r="CA526" s="536"/>
      <c r="CB526" s="536"/>
      <c r="CC526" s="536"/>
    </row>
    <row r="527" spans="1:81" s="568" customFormat="1" hidden="1">
      <c r="A527" s="549"/>
      <c r="B527" s="549"/>
      <c r="C527" s="727"/>
      <c r="F527" s="14"/>
      <c r="G527" s="14"/>
      <c r="H527" s="14"/>
      <c r="I527" s="14"/>
      <c r="J527" s="14"/>
      <c r="K527" s="14"/>
      <c r="L527" s="14"/>
      <c r="M527" s="14"/>
      <c r="N527" s="14"/>
      <c r="O527" s="14"/>
      <c r="P527" s="14"/>
      <c r="Q527" s="14"/>
      <c r="R527" s="14"/>
      <c r="S527" s="14"/>
      <c r="T527" s="14"/>
      <c r="U527" s="14"/>
      <c r="V527" s="14"/>
      <c r="W527" s="14"/>
      <c r="X527" s="14"/>
      <c r="Y527" s="14"/>
      <c r="Z527" s="14"/>
      <c r="AA527" s="14"/>
      <c r="AB527" s="14"/>
      <c r="AC527" s="14"/>
      <c r="AD527" s="549"/>
      <c r="AE527" s="549"/>
      <c r="AF527" s="549"/>
      <c r="AG527" s="14"/>
      <c r="AH527" s="14"/>
      <c r="AI527" s="14"/>
      <c r="AJ527" s="14"/>
      <c r="AK527" s="728"/>
      <c r="AL527" s="549"/>
      <c r="AM527" s="549"/>
      <c r="AN527" s="534"/>
      <c r="AO527" s="536"/>
      <c r="AP527" s="784"/>
      <c r="AQ527" s="784"/>
      <c r="AR527" s="784"/>
      <c r="AS527" s="783"/>
      <c r="AT527" s="549"/>
      <c r="AU527" s="785"/>
      <c r="AV527" s="785"/>
      <c r="AW527" s="785"/>
      <c r="AX527" s="785"/>
      <c r="AY527" s="785"/>
      <c r="AZ527" s="785"/>
      <c r="BA527" s="785"/>
      <c r="BB527" s="536"/>
      <c r="BC527" s="536"/>
      <c r="BD527" s="536"/>
      <c r="BE527" s="784"/>
      <c r="BF527" s="784"/>
      <c r="BG527" s="784"/>
      <c r="BH527" s="783"/>
      <c r="BI527" s="549"/>
      <c r="BJ527" s="786"/>
      <c r="BK527" s="785"/>
      <c r="BL527" s="785"/>
      <c r="BM527" s="785"/>
      <c r="BN527" s="785"/>
      <c r="BO527" s="785"/>
      <c r="BP527" s="785"/>
      <c r="BQ527" s="536"/>
      <c r="BR527" s="549"/>
      <c r="BS527" s="536"/>
      <c r="BT527" s="536"/>
      <c r="BU527" s="536"/>
      <c r="BV527" s="536"/>
      <c r="BW527" s="536"/>
      <c r="BX527" s="536"/>
      <c r="BY527" s="536"/>
      <c r="BZ527" s="536"/>
      <c r="CA527" s="536"/>
      <c r="CB527" s="536"/>
      <c r="CC527" s="536"/>
    </row>
    <row r="528" spans="1:81" s="568" customFormat="1" ht="12.75" hidden="1" customHeight="1">
      <c r="A528" s="14"/>
      <c r="B528" s="549"/>
      <c r="C528" s="2472" t="s">
        <v>591</v>
      </c>
      <c r="D528" s="2473"/>
      <c r="F528" s="550" t="s">
        <v>1535</v>
      </c>
      <c r="G528" s="550"/>
      <c r="H528" s="550"/>
      <c r="I528" s="550"/>
      <c r="J528" s="550"/>
      <c r="K528" s="550"/>
      <c r="L528" s="550"/>
      <c r="M528" s="550"/>
      <c r="N528" s="550"/>
      <c r="O528" s="550"/>
      <c r="P528" s="550"/>
      <c r="Q528" s="550"/>
      <c r="R528" s="550"/>
      <c r="S528" s="550"/>
      <c r="T528" s="550"/>
      <c r="U528" s="550"/>
      <c r="V528" s="550"/>
      <c r="W528" s="550"/>
      <c r="X528" s="550"/>
      <c r="Y528" s="550"/>
      <c r="Z528" s="550"/>
      <c r="AA528" s="550"/>
      <c r="AB528" s="550"/>
      <c r="AC528" s="589"/>
      <c r="AD528" s="549"/>
      <c r="AE528" s="549"/>
      <c r="AF528" s="549"/>
      <c r="AG528" s="611">
        <f>IF(AND($C$528="Yes",$C$523="Yes"),2,0)</f>
        <v>0</v>
      </c>
      <c r="AH528" s="638" t="s">
        <v>1322</v>
      </c>
      <c r="AI528" s="550"/>
      <c r="AJ528" s="592"/>
      <c r="AK528" s="728"/>
      <c r="AL528" s="549"/>
      <c r="AM528" s="549"/>
      <c r="AN528" s="534"/>
      <c r="AO528" s="536"/>
      <c r="AP528" s="784"/>
      <c r="AQ528" s="784"/>
      <c r="AR528" s="784"/>
      <c r="AS528" s="783"/>
      <c r="AT528" s="549"/>
      <c r="AU528" s="785"/>
      <c r="AV528" s="785"/>
      <c r="AW528" s="785"/>
      <c r="AX528" s="785"/>
      <c r="AY528" s="785"/>
      <c r="AZ528" s="785"/>
      <c r="BA528" s="785"/>
      <c r="BB528" s="536"/>
      <c r="BC528" s="536"/>
      <c r="BD528" s="536"/>
      <c r="BE528" s="784"/>
      <c r="BF528" s="784"/>
      <c r="BG528" s="784"/>
      <c r="BH528" s="783"/>
      <c r="BI528" s="549"/>
      <c r="BJ528" s="786"/>
      <c r="BK528" s="785"/>
      <c r="BL528" s="785"/>
      <c r="BM528" s="785"/>
      <c r="BN528" s="785"/>
      <c r="BO528" s="785"/>
      <c r="BP528" s="785"/>
      <c r="BQ528" s="536"/>
      <c r="BR528" s="549"/>
      <c r="BS528" s="536"/>
      <c r="BT528" s="536"/>
      <c r="BU528" s="536"/>
      <c r="BV528" s="536"/>
      <c r="BW528" s="536"/>
      <c r="BX528" s="536"/>
      <c r="BY528" s="536"/>
      <c r="BZ528" s="536"/>
      <c r="CA528" s="536"/>
      <c r="CB528" s="536"/>
      <c r="CC528" s="536"/>
    </row>
    <row r="529" spans="1:81" s="568" customFormat="1" hidden="1">
      <c r="A529" s="14"/>
      <c r="B529" s="549"/>
      <c r="C529" s="777"/>
      <c r="D529" s="726"/>
      <c r="E529" s="726"/>
      <c r="F529" s="550"/>
      <c r="G529" s="550" t="s">
        <v>1536</v>
      </c>
      <c r="H529" s="550"/>
      <c r="I529" s="550"/>
      <c r="J529" s="550"/>
      <c r="K529" s="550"/>
      <c r="L529" s="550"/>
      <c r="M529" s="550"/>
      <c r="N529" s="550"/>
      <c r="O529" s="550"/>
      <c r="P529" s="550"/>
      <c r="Q529" s="550"/>
      <c r="R529" s="550"/>
      <c r="S529" s="550"/>
      <c r="T529" s="550"/>
      <c r="U529" s="550"/>
      <c r="V529" s="550"/>
      <c r="W529" s="550"/>
      <c r="X529" s="550"/>
      <c r="Y529" s="550"/>
      <c r="Z529" s="550"/>
      <c r="AA529" s="550"/>
      <c r="AB529" s="550"/>
      <c r="AC529" s="589"/>
      <c r="AD529" s="549"/>
      <c r="AE529" s="549"/>
      <c r="AF529" s="549"/>
      <c r="AG529" s="592"/>
      <c r="AH529" s="592"/>
      <c r="AI529" s="592"/>
      <c r="AJ529" s="592"/>
      <c r="AK529" s="728"/>
      <c r="AL529" s="549"/>
      <c r="AM529" s="549"/>
      <c r="AN529" s="595"/>
      <c r="AO529" s="536"/>
      <c r="AP529" s="784"/>
      <c r="AQ529" s="784"/>
      <c r="AR529" s="784"/>
      <c r="AS529" s="783"/>
      <c r="AT529" s="549"/>
      <c r="AU529" s="785"/>
      <c r="AV529" s="785"/>
      <c r="AW529" s="785"/>
      <c r="AX529" s="785"/>
      <c r="AY529" s="785"/>
      <c r="AZ529" s="785"/>
      <c r="BA529" s="785"/>
      <c r="BB529" s="536"/>
      <c r="BC529" s="536"/>
      <c r="BD529" s="536"/>
      <c r="BE529" s="784"/>
      <c r="BF529" s="784"/>
      <c r="BG529" s="784"/>
      <c r="BH529" s="783"/>
      <c r="BI529" s="549"/>
      <c r="BJ529" s="786"/>
      <c r="BK529" s="785"/>
      <c r="BL529" s="785"/>
      <c r="BM529" s="785"/>
      <c r="BN529" s="785"/>
      <c r="BO529" s="785"/>
      <c r="BP529" s="785"/>
      <c r="BQ529" s="536"/>
      <c r="BR529" s="549"/>
      <c r="BS529" s="536"/>
      <c r="BT529" s="536"/>
      <c r="BU529" s="536"/>
      <c r="BV529" s="536"/>
      <c r="BW529" s="536"/>
      <c r="BX529" s="536"/>
      <c r="BY529" s="536"/>
      <c r="BZ529" s="536"/>
      <c r="CA529" s="536"/>
      <c r="CB529" s="536"/>
      <c r="CC529" s="536"/>
    </row>
    <row r="530" spans="1:81" s="549" customFormat="1" ht="12.75" hidden="1" customHeight="1">
      <c r="A530" s="14"/>
      <c r="C530" s="777"/>
      <c r="D530" s="726"/>
      <c r="E530" s="726"/>
      <c r="F530" s="550"/>
      <c r="G530" s="550" t="s">
        <v>1537</v>
      </c>
      <c r="H530" s="550"/>
      <c r="I530" s="550"/>
      <c r="J530" s="550"/>
      <c r="K530" s="550"/>
      <c r="L530" s="550"/>
      <c r="M530" s="550"/>
      <c r="N530" s="550"/>
      <c r="O530" s="550"/>
      <c r="P530" s="550"/>
      <c r="Q530" s="550"/>
      <c r="R530" s="550"/>
      <c r="S530" s="550"/>
      <c r="T530" s="550"/>
      <c r="U530" s="550"/>
      <c r="V530" s="550"/>
      <c r="W530" s="550"/>
      <c r="X530" s="550"/>
      <c r="Y530" s="550"/>
      <c r="Z530" s="550"/>
      <c r="AA530" s="550"/>
      <c r="AB530" s="550"/>
      <c r="AC530" s="589"/>
      <c r="AG530" s="592"/>
      <c r="AH530" s="592"/>
      <c r="AI530" s="592"/>
      <c r="AJ530" s="592"/>
      <c r="AK530" s="728"/>
      <c r="AN530" s="535"/>
      <c r="AP530" s="536"/>
      <c r="AQ530" s="536"/>
      <c r="AR530" s="536"/>
    </row>
    <row r="531" spans="1:81" s="549" customFormat="1" ht="12.75" hidden="1" customHeight="1">
      <c r="A531" s="635"/>
      <c r="B531" s="14"/>
      <c r="C531" s="789"/>
      <c r="D531" s="14"/>
      <c r="G531" s="609"/>
      <c r="H531" s="609"/>
      <c r="I531" s="609"/>
      <c r="J531" s="609"/>
      <c r="K531" s="609"/>
      <c r="L531" s="609"/>
      <c r="M531" s="609"/>
      <c r="N531" s="609"/>
      <c r="O531" s="609"/>
      <c r="P531" s="609"/>
      <c r="Q531" s="609"/>
      <c r="R531" s="609"/>
      <c r="S531" s="609"/>
      <c r="T531" s="609"/>
      <c r="U531" s="609"/>
      <c r="V531" s="609"/>
      <c r="W531" s="609"/>
      <c r="X531" s="609"/>
      <c r="Y531" s="609"/>
      <c r="Z531" s="609"/>
      <c r="AA531" s="609"/>
      <c r="AB531" s="609"/>
      <c r="AC531" s="609"/>
      <c r="AD531" s="609"/>
      <c r="AE531" s="609"/>
      <c r="AF531" s="609"/>
      <c r="AG531" s="589"/>
      <c r="AH531" s="589"/>
      <c r="AI531" s="589"/>
      <c r="AJ531" s="589"/>
      <c r="AK531" s="790"/>
      <c r="AL531" s="14"/>
      <c r="AM531" s="14"/>
      <c r="AN531" s="535"/>
      <c r="AO531" s="536"/>
      <c r="AP531" s="536"/>
      <c r="AQ531" s="536"/>
      <c r="AR531" s="536"/>
    </row>
    <row r="532" spans="1:81" s="549" customFormat="1" ht="12.75" hidden="1" customHeight="1">
      <c r="A532" s="635"/>
      <c r="C532" s="2472" t="s">
        <v>591</v>
      </c>
      <c r="D532" s="2473"/>
      <c r="F532" s="791" t="s">
        <v>1538</v>
      </c>
      <c r="G532" s="2438" t="s">
        <v>1539</v>
      </c>
      <c r="H532" s="2438"/>
      <c r="I532" s="2438"/>
      <c r="J532" s="2438"/>
      <c r="K532" s="2438"/>
      <c r="L532" s="2438"/>
      <c r="M532" s="2438"/>
      <c r="N532" s="2438"/>
      <c r="O532" s="2438"/>
      <c r="P532" s="2438"/>
      <c r="Q532" s="2438"/>
      <c r="R532" s="2438"/>
      <c r="S532" s="2438"/>
      <c r="T532" s="2438"/>
      <c r="U532" s="2438"/>
      <c r="V532" s="2438"/>
      <c r="W532" s="2438"/>
      <c r="X532" s="2438"/>
      <c r="Y532" s="2438"/>
      <c r="Z532" s="2438"/>
      <c r="AA532" s="2438"/>
      <c r="AB532" s="2438"/>
      <c r="AC532" s="2438"/>
      <c r="AD532" s="2438"/>
      <c r="AE532" s="2438"/>
      <c r="AF532" s="2438"/>
      <c r="AG532" s="611">
        <f>IF(AND($C$532="Yes",$C$523="Yes"),2,0)</f>
        <v>0</v>
      </c>
      <c r="AH532" s="638" t="s">
        <v>1322</v>
      </c>
      <c r="AI532" s="550"/>
      <c r="AJ532" s="592"/>
      <c r="AK532" s="728"/>
      <c r="AN532" s="535"/>
      <c r="AZ532" s="539"/>
      <c r="BC532" s="543"/>
      <c r="BD532" s="539"/>
      <c r="BE532" s="539"/>
      <c r="BF532" s="539"/>
      <c r="BM532" s="536"/>
      <c r="BN532" s="539"/>
      <c r="BO532" s="536"/>
      <c r="BP532" s="539"/>
      <c r="BQ532" s="539"/>
      <c r="BR532" s="539"/>
      <c r="BS532" s="539"/>
      <c r="BT532" s="539"/>
      <c r="BU532" s="539"/>
      <c r="BV532" s="536"/>
      <c r="BW532" s="536"/>
      <c r="BX532" s="536"/>
      <c r="BY532" s="536"/>
      <c r="BZ532" s="536"/>
      <c r="CA532" s="536"/>
      <c r="CB532" s="536"/>
      <c r="CC532" s="536"/>
    </row>
    <row r="533" spans="1:81" s="549" customFormat="1" ht="12.75" hidden="1" customHeight="1">
      <c r="C533" s="792"/>
      <c r="D533" s="723"/>
      <c r="E533" s="761"/>
      <c r="F533" s="722"/>
      <c r="G533" s="2439"/>
      <c r="H533" s="2439"/>
      <c r="I533" s="2439"/>
      <c r="J533" s="2439"/>
      <c r="K533" s="2439"/>
      <c r="L533" s="2439"/>
      <c r="M533" s="2439"/>
      <c r="N533" s="2439"/>
      <c r="O533" s="2439"/>
      <c r="P533" s="2439"/>
      <c r="Q533" s="2439"/>
      <c r="R533" s="2439"/>
      <c r="S533" s="2439"/>
      <c r="T533" s="2439"/>
      <c r="U533" s="2439"/>
      <c r="V533" s="2439"/>
      <c r="W533" s="2439"/>
      <c r="X533" s="2439"/>
      <c r="Y533" s="2439"/>
      <c r="Z533" s="2439"/>
      <c r="AA533" s="2439"/>
      <c r="AB533" s="2439"/>
      <c r="AC533" s="2439"/>
      <c r="AD533" s="2439"/>
      <c r="AE533" s="2439"/>
      <c r="AF533" s="2439"/>
      <c r="AG533" s="654"/>
      <c r="AH533" s="654"/>
      <c r="AI533" s="654"/>
      <c r="AJ533" s="654"/>
      <c r="AK533" s="738"/>
      <c r="AN533" s="535"/>
      <c r="AZ533" s="539"/>
      <c r="BC533" s="543"/>
      <c r="BD533" s="539"/>
      <c r="BE533" s="539"/>
      <c r="BF533" s="539"/>
      <c r="BM533" s="593"/>
      <c r="BN533" s="593"/>
      <c r="BO533" s="593"/>
      <c r="BP533" s="593"/>
      <c r="BQ533" s="593"/>
      <c r="BR533" s="593"/>
      <c r="BS533" s="593"/>
      <c r="BT533" s="593"/>
      <c r="BU533" s="593"/>
      <c r="BV533" s="593"/>
      <c r="BW533" s="593"/>
      <c r="BX533" s="593"/>
      <c r="BY533" s="593"/>
      <c r="BZ533" s="593"/>
      <c r="CA533" s="593"/>
      <c r="CB533" s="593"/>
      <c r="CC533" s="593"/>
    </row>
    <row r="534" spans="1:81" s="549" customFormat="1" ht="12.75" hidden="1" customHeight="1">
      <c r="C534" s="536"/>
      <c r="E534" s="759"/>
      <c r="F534" s="601"/>
      <c r="G534" s="571"/>
      <c r="H534" s="571"/>
      <c r="I534" s="571"/>
      <c r="J534" s="571"/>
      <c r="K534" s="571"/>
      <c r="L534" s="571"/>
      <c r="M534" s="571"/>
      <c r="N534" s="571"/>
      <c r="O534" s="571"/>
      <c r="P534" s="571"/>
      <c r="Q534" s="571"/>
      <c r="R534" s="571"/>
      <c r="S534" s="571"/>
      <c r="T534" s="571"/>
      <c r="U534" s="571"/>
      <c r="V534" s="571"/>
      <c r="W534" s="571"/>
      <c r="X534" s="571"/>
      <c r="Y534" s="571"/>
      <c r="Z534" s="571"/>
      <c r="AA534" s="571"/>
      <c r="AB534" s="571"/>
      <c r="AC534" s="571"/>
      <c r="AD534" s="571"/>
      <c r="AE534" s="571"/>
      <c r="AF534" s="571"/>
      <c r="AG534" s="550"/>
      <c r="AH534" s="550"/>
      <c r="AI534" s="550"/>
      <c r="AJ534" s="550"/>
      <c r="AN534" s="535"/>
      <c r="AP534" s="539"/>
      <c r="AQ534" s="539"/>
      <c r="AR534" s="539"/>
      <c r="AS534" s="539"/>
      <c r="AT534" s="539"/>
      <c r="AU534" s="539"/>
      <c r="AV534" s="539"/>
      <c r="AW534" s="539"/>
      <c r="AX534" s="539"/>
      <c r="AY534" s="539"/>
      <c r="AZ534" s="539"/>
      <c r="BA534" s="539"/>
      <c r="BB534" s="539"/>
      <c r="BC534" s="539"/>
      <c r="BD534" s="539"/>
      <c r="BE534" s="539"/>
      <c r="BF534" s="539"/>
      <c r="BG534" s="539"/>
      <c r="BH534" s="539"/>
      <c r="BI534" s="543"/>
      <c r="BJ534" s="793"/>
      <c r="BK534" s="793"/>
      <c r="BM534" s="593"/>
      <c r="BN534" s="593"/>
      <c r="BO534" s="593"/>
      <c r="BP534" s="593"/>
      <c r="BQ534" s="593"/>
      <c r="BR534" s="593"/>
      <c r="BS534" s="593"/>
      <c r="BT534" s="593"/>
      <c r="BU534" s="593"/>
      <c r="BV534" s="593"/>
      <c r="BW534" s="593"/>
      <c r="BX534" s="593"/>
      <c r="BY534" s="593"/>
      <c r="BZ534" s="593"/>
      <c r="CA534" s="593"/>
      <c r="CB534" s="593"/>
      <c r="CC534" s="593"/>
    </row>
    <row r="535" spans="1:81" s="549" customFormat="1" ht="12.75" hidden="1" customHeight="1">
      <c r="C535" s="794" t="s">
        <v>1540</v>
      </c>
      <c r="D535" s="710"/>
      <c r="E535" s="795"/>
      <c r="F535" s="796"/>
      <c r="G535" s="797"/>
      <c r="H535" s="797"/>
      <c r="I535" s="797"/>
      <c r="J535" s="797"/>
      <c r="K535" s="797"/>
      <c r="L535" s="797"/>
      <c r="M535" s="797"/>
      <c r="N535" s="797"/>
      <c r="O535" s="797"/>
      <c r="P535" s="797"/>
      <c r="Q535" s="797"/>
      <c r="R535" s="797"/>
      <c r="S535" s="797"/>
      <c r="T535" s="797"/>
      <c r="U535" s="797"/>
      <c r="V535" s="797"/>
      <c r="W535" s="797"/>
      <c r="X535" s="797"/>
      <c r="Y535" s="797"/>
      <c r="Z535" s="797"/>
      <c r="AA535" s="797"/>
      <c r="AB535" s="797"/>
      <c r="AC535" s="797"/>
      <c r="AD535" s="797"/>
      <c r="AE535" s="797"/>
      <c r="AF535" s="797"/>
      <c r="AG535" s="645"/>
      <c r="AH535" s="645"/>
      <c r="AI535" s="645"/>
      <c r="AJ535" s="645"/>
      <c r="AK535" s="741"/>
      <c r="AN535" s="595"/>
      <c r="AP535" s="539"/>
      <c r="AQ535" s="539"/>
      <c r="AR535" s="539"/>
      <c r="AS535" s="539"/>
      <c r="AT535" s="539"/>
      <c r="AU535" s="539"/>
      <c r="AV535" s="539"/>
      <c r="AW535" s="539"/>
      <c r="AX535" s="539"/>
      <c r="AY535" s="539"/>
      <c r="AZ535" s="539"/>
      <c r="BA535" s="539"/>
      <c r="BB535" s="539"/>
      <c r="BC535" s="539"/>
      <c r="BD535" s="539"/>
      <c r="BE535" s="539"/>
      <c r="BF535" s="539"/>
      <c r="BG535" s="539"/>
      <c r="BH535" s="539"/>
      <c r="BI535" s="635"/>
      <c r="BJ535" s="793"/>
      <c r="BK535" s="793"/>
      <c r="BM535" s="593"/>
      <c r="BN535" s="593"/>
      <c r="BO535" s="593"/>
      <c r="BP535" s="593"/>
      <c r="BQ535" s="593"/>
      <c r="BR535" s="593"/>
      <c r="BS535" s="593"/>
      <c r="BT535" s="593"/>
      <c r="BU535" s="593"/>
      <c r="BV535" s="593"/>
      <c r="BW535" s="593"/>
      <c r="BX535" s="593"/>
      <c r="BY535" s="593"/>
      <c r="BZ535" s="593"/>
      <c r="CA535" s="593"/>
      <c r="CB535" s="593"/>
      <c r="CC535" s="593"/>
    </row>
    <row r="536" spans="1:81" s="549" customFormat="1" ht="12.75" hidden="1" customHeight="1">
      <c r="C536" s="2474" t="s">
        <v>591</v>
      </c>
      <c r="D536" s="2475"/>
      <c r="E536" s="798" t="s">
        <v>1541</v>
      </c>
      <c r="F536" s="767" t="s">
        <v>1542</v>
      </c>
      <c r="G536" s="571"/>
      <c r="H536" s="571"/>
      <c r="I536" s="571"/>
      <c r="J536" s="571"/>
      <c r="K536" s="571"/>
      <c r="L536" s="571"/>
      <c r="M536" s="571"/>
      <c r="N536" s="571"/>
      <c r="O536" s="571"/>
      <c r="P536" s="571"/>
      <c r="Q536" s="571"/>
      <c r="R536" s="571"/>
      <c r="S536" s="571"/>
      <c r="T536" s="571"/>
      <c r="U536" s="571"/>
      <c r="V536" s="571"/>
      <c r="W536" s="571"/>
      <c r="X536" s="571"/>
      <c r="Y536" s="571"/>
      <c r="Z536" s="571"/>
      <c r="AA536" s="571"/>
      <c r="AB536" s="571"/>
      <c r="AC536" s="571"/>
      <c r="AD536" s="571"/>
      <c r="AE536" s="571"/>
      <c r="AF536" s="571"/>
      <c r="AG536" s="611">
        <f>IF(C$536="Yes",(VLOOKUP(F$537,$AO$507:$AP$510,2,FALSE)),0)</f>
        <v>0</v>
      </c>
      <c r="AH536" s="638" t="s">
        <v>1322</v>
      </c>
      <c r="AI536" s="550"/>
      <c r="AJ536" s="550"/>
      <c r="AK536" s="728"/>
      <c r="AN536" s="595"/>
      <c r="AP536" s="539"/>
      <c r="AQ536" s="539"/>
      <c r="AR536" s="539"/>
      <c r="AS536" s="539"/>
      <c r="AT536" s="539"/>
      <c r="AU536" s="539"/>
      <c r="AV536" s="539"/>
      <c r="AW536" s="539"/>
      <c r="AX536" s="539"/>
      <c r="AY536" s="539"/>
      <c r="AZ536" s="539"/>
      <c r="BA536" s="539"/>
      <c r="BB536" s="539"/>
      <c r="BC536" s="539"/>
      <c r="BD536" s="539"/>
      <c r="BE536" s="539"/>
      <c r="BF536" s="539"/>
      <c r="BG536" s="539"/>
      <c r="BH536" s="539"/>
      <c r="BI536" s="635"/>
      <c r="BJ536" s="793"/>
      <c r="BK536" s="793"/>
      <c r="BM536" s="536"/>
      <c r="BN536" s="536"/>
      <c r="BO536" s="536"/>
      <c r="BP536" s="536"/>
      <c r="BQ536" s="536"/>
      <c r="BR536" s="536"/>
      <c r="BS536" s="536"/>
      <c r="BT536" s="536"/>
      <c r="BU536" s="536"/>
      <c r="BV536" s="536"/>
      <c r="BW536" s="536"/>
      <c r="BX536" s="536"/>
      <c r="BY536" s="536"/>
      <c r="BZ536" s="536"/>
      <c r="CA536" s="536"/>
      <c r="CB536" s="536"/>
      <c r="CC536" s="536"/>
    </row>
    <row r="537" spans="1:81" s="549" customFormat="1" ht="12.75" hidden="1" customHeight="1">
      <c r="C537" s="714"/>
      <c r="E537" s="759"/>
      <c r="F537" s="2476" t="s">
        <v>591</v>
      </c>
      <c r="G537" s="2476"/>
      <c r="H537" s="2476"/>
      <c r="I537" s="2476"/>
      <c r="J537" s="2476"/>
      <c r="K537" s="2476"/>
      <c r="L537" s="2476"/>
      <c r="M537" s="2476"/>
      <c r="N537" s="2476"/>
      <c r="O537" s="2476"/>
      <c r="P537" s="2476"/>
      <c r="Q537" s="2476"/>
      <c r="R537" s="2476"/>
      <c r="S537" s="2476"/>
      <c r="T537" s="2476"/>
      <c r="U537" s="2476"/>
      <c r="V537" s="2476"/>
      <c r="W537" s="2476"/>
      <c r="X537" s="2476"/>
      <c r="Y537" s="2476"/>
      <c r="Z537" s="2476"/>
      <c r="AA537" s="2476"/>
      <c r="AB537" s="2476"/>
      <c r="AC537" s="2476"/>
      <c r="AD537" s="2476"/>
      <c r="AE537" s="2476"/>
      <c r="AF537" s="2476"/>
      <c r="AG537" s="550"/>
      <c r="AH537" s="550"/>
      <c r="AI537" s="550"/>
      <c r="AJ537" s="550"/>
      <c r="AK537" s="728"/>
      <c r="AN537" s="595"/>
      <c r="BM537" s="536"/>
      <c r="BN537" s="536"/>
      <c r="BO537" s="536"/>
      <c r="BP537" s="536"/>
      <c r="BQ537" s="536"/>
      <c r="BR537" s="536"/>
      <c r="BS537" s="536"/>
      <c r="BT537" s="536"/>
      <c r="BU537" s="536"/>
      <c r="BV537" s="536"/>
      <c r="BW537" s="536"/>
      <c r="BX537" s="536"/>
      <c r="BY537" s="536"/>
      <c r="BZ537" s="536"/>
      <c r="CA537" s="536"/>
      <c r="CB537" s="536"/>
      <c r="CC537" s="536"/>
    </row>
    <row r="538" spans="1:81" s="549" customFormat="1" ht="12.75" hidden="1" customHeight="1">
      <c r="C538" s="792"/>
      <c r="D538" s="723"/>
      <c r="E538" s="761"/>
      <c r="F538" s="2477"/>
      <c r="G538" s="2477"/>
      <c r="H538" s="2477"/>
      <c r="I538" s="2477"/>
      <c r="J538" s="2477"/>
      <c r="K538" s="2477"/>
      <c r="L538" s="2477"/>
      <c r="M538" s="2477"/>
      <c r="N538" s="2477"/>
      <c r="O538" s="2477"/>
      <c r="P538" s="2477"/>
      <c r="Q538" s="2477"/>
      <c r="R538" s="2477"/>
      <c r="S538" s="2477"/>
      <c r="T538" s="2477"/>
      <c r="U538" s="2477"/>
      <c r="V538" s="2477"/>
      <c r="W538" s="2477"/>
      <c r="X538" s="2477"/>
      <c r="Y538" s="2477"/>
      <c r="Z538" s="2477"/>
      <c r="AA538" s="2477"/>
      <c r="AB538" s="2477"/>
      <c r="AC538" s="2477"/>
      <c r="AD538" s="2477"/>
      <c r="AE538" s="2477"/>
      <c r="AF538" s="2477"/>
      <c r="AG538" s="654"/>
      <c r="AH538" s="654"/>
      <c r="AI538" s="654"/>
      <c r="AJ538" s="654"/>
      <c r="AK538" s="738"/>
      <c r="AN538" s="595"/>
      <c r="BM538" s="536"/>
      <c r="BN538" s="536"/>
      <c r="BO538" s="536"/>
      <c r="BP538" s="536"/>
      <c r="BQ538" s="536"/>
      <c r="BR538" s="536"/>
      <c r="BS538" s="536"/>
      <c r="BT538" s="536"/>
      <c r="BU538" s="536"/>
      <c r="BV538" s="536"/>
      <c r="BW538" s="536"/>
      <c r="BX538" s="536"/>
      <c r="BY538" s="536"/>
      <c r="BZ538" s="536"/>
      <c r="CA538" s="536"/>
      <c r="CB538" s="536"/>
      <c r="CC538" s="536"/>
    </row>
    <row r="539" spans="1:81" s="549" customFormat="1" ht="12.75" hidden="1" customHeight="1">
      <c r="A539" s="635"/>
      <c r="C539" s="550"/>
      <c r="E539" s="550"/>
      <c r="F539" s="767"/>
      <c r="G539" s="550"/>
      <c r="H539" s="550"/>
      <c r="I539" s="550"/>
      <c r="J539" s="550"/>
      <c r="K539" s="550"/>
      <c r="L539" s="550"/>
      <c r="M539" s="550"/>
      <c r="N539" s="550"/>
      <c r="O539" s="550"/>
      <c r="P539" s="550"/>
      <c r="Q539" s="550"/>
      <c r="R539" s="550"/>
      <c r="S539" s="550"/>
      <c r="T539" s="550"/>
      <c r="U539" s="550"/>
      <c r="V539" s="550"/>
      <c r="W539" s="550"/>
      <c r="X539" s="550"/>
      <c r="Y539" s="550"/>
      <c r="Z539" s="550"/>
      <c r="AA539" s="550"/>
      <c r="AB539" s="550"/>
      <c r="AC539" s="550"/>
      <c r="AD539" s="614"/>
      <c r="AE539" s="550"/>
      <c r="AF539" s="550"/>
      <c r="AG539" s="550"/>
      <c r="AH539" s="550"/>
      <c r="AN539" s="595"/>
      <c r="BM539" s="536"/>
      <c r="BN539" s="536"/>
      <c r="BO539" s="536"/>
      <c r="BP539" s="536"/>
      <c r="BQ539" s="536"/>
      <c r="BR539" s="536"/>
      <c r="BS539" s="536"/>
      <c r="BT539" s="536"/>
      <c r="BU539" s="536"/>
      <c r="BV539" s="536"/>
      <c r="BW539" s="536"/>
      <c r="BX539" s="536"/>
      <c r="BY539" s="536"/>
      <c r="BZ539" s="536"/>
      <c r="CA539" s="536"/>
      <c r="CB539" s="536"/>
      <c r="CC539" s="536"/>
    </row>
    <row r="540" spans="1:81" s="549" customFormat="1" ht="12.75" hidden="1" customHeight="1">
      <c r="A540" s="635"/>
      <c r="B540" s="549" t="s">
        <v>1543</v>
      </c>
      <c r="C540" s="550"/>
      <c r="E540" s="550"/>
      <c r="F540" s="550"/>
      <c r="G540" s="550"/>
      <c r="H540" s="550"/>
      <c r="I540" s="550"/>
      <c r="J540" s="550"/>
      <c r="K540" s="550"/>
      <c r="L540" s="550"/>
      <c r="M540" s="550"/>
      <c r="N540" s="550"/>
      <c r="O540" s="550"/>
      <c r="P540" s="550"/>
      <c r="Q540" s="550"/>
      <c r="R540" s="550"/>
      <c r="S540" s="550"/>
      <c r="T540" s="550"/>
      <c r="U540" s="550"/>
      <c r="V540" s="550"/>
      <c r="W540" s="550"/>
      <c r="X540" s="550"/>
      <c r="Y540" s="550"/>
      <c r="Z540" s="550"/>
      <c r="AA540" s="550"/>
      <c r="AB540" s="550"/>
      <c r="AC540" s="550"/>
      <c r="AD540" s="614"/>
      <c r="AE540" s="550"/>
      <c r="AF540" s="550"/>
      <c r="AG540" s="550"/>
      <c r="AH540" s="550"/>
      <c r="AN540" s="595"/>
      <c r="AP540" s="782"/>
      <c r="AQ540" s="782"/>
      <c r="AR540" s="782"/>
      <c r="AS540" s="782"/>
      <c r="AT540" s="782"/>
      <c r="AU540" s="782"/>
      <c r="AV540" s="782"/>
      <c r="AW540" s="782"/>
      <c r="AX540" s="782"/>
      <c r="AY540" s="782"/>
      <c r="BM540" s="536"/>
      <c r="BN540" s="536"/>
      <c r="BO540" s="536"/>
      <c r="BP540" s="536"/>
      <c r="BQ540" s="536"/>
      <c r="BR540" s="536"/>
      <c r="BS540" s="536"/>
      <c r="BT540" s="536"/>
      <c r="BU540" s="536"/>
      <c r="BV540" s="536"/>
      <c r="BW540" s="536"/>
      <c r="BX540" s="536"/>
      <c r="BY540" s="536"/>
      <c r="BZ540" s="536"/>
      <c r="CA540" s="536"/>
      <c r="CB540" s="536"/>
      <c r="CC540" s="536"/>
    </row>
    <row r="541" spans="1:81" s="549" customFormat="1" ht="12.75" hidden="1" customHeight="1">
      <c r="A541" s="635"/>
      <c r="B541" s="549" t="s">
        <v>1544</v>
      </c>
      <c r="C541" s="550"/>
      <c r="E541" s="550"/>
      <c r="F541" s="550"/>
      <c r="G541" s="550"/>
      <c r="H541" s="550"/>
      <c r="I541" s="550"/>
      <c r="J541" s="550"/>
      <c r="K541" s="550"/>
      <c r="L541" s="550"/>
      <c r="M541" s="550"/>
      <c r="N541" s="550"/>
      <c r="O541" s="550"/>
      <c r="P541" s="550"/>
      <c r="Q541" s="550"/>
      <c r="R541" s="550"/>
      <c r="S541" s="550"/>
      <c r="T541" s="550"/>
      <c r="U541" s="550"/>
      <c r="V541" s="550"/>
      <c r="W541" s="550"/>
      <c r="X541" s="550"/>
      <c r="Y541" s="550"/>
      <c r="Z541" s="550"/>
      <c r="AA541" s="550"/>
      <c r="AB541" s="550"/>
      <c r="AC541" s="550"/>
      <c r="AD541" s="614"/>
      <c r="AE541" s="550"/>
      <c r="AF541" s="550"/>
      <c r="AG541" s="550"/>
      <c r="AH541" s="550"/>
      <c r="AN541" s="595"/>
      <c r="AP541" s="799"/>
      <c r="AQ541" s="799"/>
      <c r="AR541" s="799"/>
      <c r="AS541" s="799"/>
      <c r="AT541" s="799"/>
      <c r="AU541" s="799"/>
      <c r="AV541" s="799"/>
      <c r="AW541" s="799"/>
      <c r="AX541" s="799"/>
      <c r="AY541" s="799"/>
      <c r="BM541" s="536"/>
      <c r="BN541" s="536"/>
      <c r="BO541" s="536"/>
      <c r="BP541" s="536"/>
      <c r="BQ541" s="536"/>
      <c r="BR541" s="536"/>
      <c r="BS541" s="536"/>
      <c r="BT541" s="536"/>
      <c r="BU541" s="536"/>
      <c r="BV541" s="536"/>
      <c r="BW541" s="536"/>
      <c r="BX541" s="536"/>
      <c r="BY541" s="536"/>
      <c r="BZ541" s="536"/>
      <c r="CA541" s="536"/>
      <c r="CB541" s="536"/>
      <c r="CC541" s="536"/>
    </row>
    <row r="542" spans="1:81" s="549" customFormat="1" ht="12.75" hidden="1" customHeight="1">
      <c r="A542" s="635"/>
      <c r="B542" s="549" t="s">
        <v>1989</v>
      </c>
      <c r="C542" s="550"/>
      <c r="E542" s="550"/>
      <c r="F542" s="550"/>
      <c r="G542" s="550"/>
      <c r="H542" s="550"/>
      <c r="I542" s="550"/>
      <c r="J542" s="550"/>
      <c r="K542" s="550"/>
      <c r="L542" s="550"/>
      <c r="M542" s="550"/>
      <c r="N542" s="550"/>
      <c r="O542" s="550"/>
      <c r="P542" s="550"/>
      <c r="Q542" s="550"/>
      <c r="R542" s="550"/>
      <c r="S542" s="550"/>
      <c r="T542" s="550"/>
      <c r="U542" s="550"/>
      <c r="V542" s="550"/>
      <c r="W542" s="550"/>
      <c r="X542" s="550"/>
      <c r="Y542" s="550"/>
      <c r="Z542" s="550"/>
      <c r="AA542" s="550"/>
      <c r="AB542" s="550"/>
      <c r="AC542" s="550"/>
      <c r="AD542" s="614"/>
      <c r="AE542" s="550"/>
      <c r="AF542" s="550"/>
      <c r="AG542" s="550"/>
      <c r="AH542" s="550"/>
      <c r="AN542" s="595"/>
      <c r="AP542" s="799"/>
      <c r="AQ542" s="799"/>
      <c r="AR542" s="799"/>
      <c r="AS542" s="799"/>
      <c r="AT542" s="799"/>
      <c r="AU542" s="799"/>
      <c r="AV542" s="799"/>
      <c r="AW542" s="799"/>
      <c r="AX542" s="799"/>
      <c r="AY542" s="799"/>
      <c r="BM542" s="536"/>
      <c r="BN542" s="536"/>
      <c r="BO542" s="536"/>
      <c r="BP542" s="536"/>
      <c r="BQ542" s="536"/>
      <c r="BR542" s="536"/>
      <c r="BS542" s="536"/>
      <c r="BT542" s="536"/>
      <c r="BU542" s="536"/>
      <c r="BV542" s="536"/>
      <c r="BW542" s="536"/>
      <c r="BX542" s="536"/>
      <c r="BY542" s="536"/>
      <c r="BZ542" s="536"/>
      <c r="CA542" s="536"/>
      <c r="CB542" s="536"/>
      <c r="CC542" s="536"/>
    </row>
    <row r="543" spans="1:81" s="549" customFormat="1" ht="12.75" hidden="1" customHeight="1">
      <c r="A543" s="635"/>
      <c r="B543" s="549" t="s">
        <v>1545</v>
      </c>
      <c r="C543" s="550"/>
      <c r="E543" s="550"/>
      <c r="F543" s="550"/>
      <c r="G543" s="550"/>
      <c r="H543" s="550"/>
      <c r="I543" s="550"/>
      <c r="J543" s="550"/>
      <c r="K543" s="550"/>
      <c r="L543" s="550"/>
      <c r="M543" s="550"/>
      <c r="N543" s="550"/>
      <c r="O543" s="550"/>
      <c r="P543" s="550"/>
      <c r="Q543" s="550"/>
      <c r="R543" s="550"/>
      <c r="S543" s="550"/>
      <c r="T543" s="550"/>
      <c r="U543" s="550"/>
      <c r="V543" s="550"/>
      <c r="W543" s="550"/>
      <c r="X543" s="550"/>
      <c r="Y543" s="550"/>
      <c r="Z543" s="550"/>
      <c r="AA543" s="550"/>
      <c r="AB543" s="550"/>
      <c r="AC543" s="550"/>
      <c r="AD543" s="614"/>
      <c r="AE543" s="550"/>
      <c r="AF543" s="550"/>
      <c r="AG543" s="550"/>
      <c r="AH543" s="550"/>
      <c r="AN543" s="595"/>
      <c r="AP543" s="799"/>
      <c r="AQ543" s="799"/>
      <c r="AR543" s="799"/>
      <c r="AS543" s="799"/>
      <c r="AT543" s="799"/>
      <c r="AU543" s="799"/>
      <c r="AV543" s="799"/>
      <c r="AW543" s="799"/>
      <c r="AX543" s="799"/>
      <c r="AY543" s="799"/>
      <c r="BM543" s="536"/>
      <c r="BN543" s="536"/>
      <c r="BO543" s="536"/>
      <c r="BP543" s="536"/>
      <c r="BQ543" s="536"/>
      <c r="BR543" s="536"/>
      <c r="BS543" s="536"/>
      <c r="BT543" s="536"/>
      <c r="BU543" s="536"/>
      <c r="BV543" s="536"/>
      <c r="BW543" s="536"/>
      <c r="BX543" s="536"/>
      <c r="BY543" s="536"/>
      <c r="BZ543" s="536"/>
      <c r="CA543" s="536"/>
      <c r="CB543" s="536"/>
      <c r="CC543" s="536"/>
    </row>
    <row r="544" spans="1:81" s="549" customFormat="1" ht="12.75" hidden="1" customHeight="1">
      <c r="A544" s="635"/>
      <c r="B544" s="549" t="s">
        <v>1990</v>
      </c>
      <c r="C544" s="550"/>
      <c r="E544" s="550"/>
      <c r="F544" s="550"/>
      <c r="G544" s="550"/>
      <c r="H544" s="550"/>
      <c r="I544" s="550"/>
      <c r="J544" s="550"/>
      <c r="K544" s="550"/>
      <c r="L544" s="550"/>
      <c r="M544" s="550"/>
      <c r="N544" s="550"/>
      <c r="O544" s="550"/>
      <c r="P544" s="550"/>
      <c r="Q544" s="550"/>
      <c r="R544" s="550"/>
      <c r="S544" s="550"/>
      <c r="T544" s="550"/>
      <c r="U544" s="550"/>
      <c r="V544" s="550"/>
      <c r="W544" s="550"/>
      <c r="X544" s="550"/>
      <c r="Y544" s="550"/>
      <c r="Z544" s="550"/>
      <c r="AA544" s="550"/>
      <c r="AB544" s="550"/>
      <c r="AC544" s="550"/>
      <c r="AD544" s="614"/>
      <c r="AE544" s="550"/>
      <c r="AF544" s="550"/>
      <c r="AG544" s="550"/>
      <c r="AH544" s="550"/>
      <c r="AN544" s="595"/>
      <c r="AP544" s="799"/>
      <c r="AQ544" s="799"/>
      <c r="AR544" s="799"/>
      <c r="AS544" s="799"/>
      <c r="AT544" s="799"/>
      <c r="AU544" s="799"/>
      <c r="AV544" s="799"/>
      <c r="AW544" s="799"/>
      <c r="AX544" s="799"/>
      <c r="AY544" s="799"/>
      <c r="BM544" s="536"/>
      <c r="BN544" s="536"/>
      <c r="BO544" s="536"/>
      <c r="BP544" s="536"/>
      <c r="BQ544" s="536"/>
      <c r="BR544" s="536"/>
      <c r="BS544" s="536"/>
      <c r="BT544" s="536"/>
      <c r="BU544" s="536"/>
      <c r="BV544" s="536"/>
      <c r="BW544" s="536"/>
      <c r="BX544" s="536"/>
      <c r="BY544" s="536"/>
      <c r="BZ544" s="536"/>
      <c r="CA544" s="536"/>
      <c r="CB544" s="536"/>
      <c r="CC544" s="536"/>
    </row>
    <row r="545" spans="1:81" s="549" customFormat="1" ht="12.75" hidden="1" customHeight="1">
      <c r="A545" s="635"/>
      <c r="B545" s="549" t="s">
        <v>1546</v>
      </c>
      <c r="C545" s="550"/>
      <c r="E545" s="550"/>
      <c r="F545" s="550"/>
      <c r="G545" s="550"/>
      <c r="H545" s="550"/>
      <c r="I545" s="550"/>
      <c r="J545" s="550"/>
      <c r="K545" s="550"/>
      <c r="L545" s="550"/>
      <c r="M545" s="550"/>
      <c r="N545" s="550"/>
      <c r="O545" s="550"/>
      <c r="P545" s="550"/>
      <c r="Q545" s="550"/>
      <c r="R545" s="550"/>
      <c r="S545" s="550"/>
      <c r="T545" s="550"/>
      <c r="U545" s="550"/>
      <c r="V545" s="550"/>
      <c r="W545" s="550"/>
      <c r="X545" s="550"/>
      <c r="Y545" s="550"/>
      <c r="Z545" s="550"/>
      <c r="AA545" s="550"/>
      <c r="AB545" s="550"/>
      <c r="AC545" s="550"/>
      <c r="AD545" s="614"/>
      <c r="AE545" s="550"/>
      <c r="AF545" s="550"/>
      <c r="AG545" s="550"/>
      <c r="AH545" s="550"/>
      <c r="AN545" s="595"/>
      <c r="AP545" s="799"/>
      <c r="AQ545" s="799"/>
      <c r="AR545" s="799"/>
      <c r="AS545" s="799"/>
      <c r="AT545" s="799"/>
      <c r="AU545" s="799"/>
      <c r="AV545" s="799"/>
      <c r="AW545" s="799"/>
      <c r="AX545" s="799"/>
      <c r="AY545" s="799"/>
      <c r="BM545" s="536"/>
      <c r="BN545" s="536"/>
      <c r="BO545" s="536"/>
      <c r="BP545" s="536"/>
      <c r="BQ545" s="536"/>
      <c r="BR545" s="536"/>
      <c r="BS545" s="536"/>
      <c r="BT545" s="536"/>
      <c r="BU545" s="536"/>
      <c r="BV545" s="536"/>
      <c r="BW545" s="536"/>
      <c r="BX545" s="536"/>
      <c r="BY545" s="536"/>
      <c r="BZ545" s="536"/>
      <c r="CA545" s="536"/>
      <c r="CB545" s="536"/>
      <c r="CC545" s="536"/>
    </row>
    <row r="546" spans="1:81" s="549" customFormat="1" ht="12.75" hidden="1" customHeight="1">
      <c r="A546" s="635"/>
      <c r="B546" s="549" t="s">
        <v>1547</v>
      </c>
      <c r="C546" s="550"/>
      <c r="E546" s="550"/>
      <c r="F546" s="550"/>
      <c r="G546" s="550"/>
      <c r="H546" s="550"/>
      <c r="I546" s="550"/>
      <c r="J546" s="550"/>
      <c r="K546" s="550"/>
      <c r="L546" s="550"/>
      <c r="M546" s="550"/>
      <c r="N546" s="550"/>
      <c r="O546" s="550"/>
      <c r="P546" s="550"/>
      <c r="Q546" s="550"/>
      <c r="R546" s="550"/>
      <c r="S546" s="550"/>
      <c r="T546" s="550"/>
      <c r="U546" s="550"/>
      <c r="V546" s="550"/>
      <c r="W546" s="550"/>
      <c r="X546" s="550"/>
      <c r="Y546" s="550"/>
      <c r="Z546" s="550"/>
      <c r="AA546" s="550"/>
      <c r="AB546" s="550"/>
      <c r="AC546" s="550"/>
      <c r="AD546" s="614"/>
      <c r="AE546" s="550"/>
      <c r="AF546" s="550"/>
      <c r="AG546" s="550"/>
      <c r="AH546" s="550"/>
      <c r="AN546" s="595"/>
    </row>
    <row r="547" spans="1:81" s="549" customFormat="1" ht="12.75" hidden="1" customHeight="1">
      <c r="A547" s="800"/>
      <c r="C547" s="550"/>
      <c r="E547" s="550"/>
      <c r="F547" s="550"/>
      <c r="G547" s="550"/>
      <c r="H547" s="550"/>
      <c r="I547" s="550"/>
      <c r="J547" s="550"/>
      <c r="K547" s="550"/>
      <c r="L547" s="550"/>
      <c r="M547" s="550"/>
      <c r="N547" s="550"/>
      <c r="O547" s="550"/>
      <c r="P547" s="550"/>
      <c r="Q547" s="550"/>
      <c r="R547" s="550"/>
      <c r="S547" s="550"/>
      <c r="T547" s="550"/>
      <c r="U547" s="550"/>
      <c r="V547" s="550"/>
      <c r="W547" s="550"/>
      <c r="X547" s="550"/>
      <c r="Y547" s="550"/>
      <c r="Z547" s="550"/>
      <c r="AA547" s="550"/>
      <c r="AB547" s="550"/>
      <c r="AC547" s="550"/>
      <c r="AD547" s="614"/>
      <c r="AE547" s="550"/>
      <c r="AF547" s="550"/>
      <c r="AG547" s="550"/>
      <c r="AH547" s="550"/>
      <c r="AN547" s="595"/>
    </row>
    <row r="548" spans="1:81" s="549" customFormat="1" ht="12.75" hidden="1" customHeight="1">
      <c r="A548" s="604"/>
      <c r="B548" s="660"/>
      <c r="C548" s="660"/>
      <c r="D548" s="660"/>
      <c r="E548" s="660"/>
      <c r="F548" s="660"/>
      <c r="G548" s="660"/>
      <c r="H548" s="660"/>
      <c r="I548" s="660"/>
      <c r="J548" s="660"/>
      <c r="K548" s="660"/>
      <c r="L548" s="660"/>
      <c r="M548" s="660"/>
      <c r="N548" s="660"/>
      <c r="O548" s="660"/>
      <c r="P548" s="660"/>
      <c r="Q548" s="660"/>
      <c r="R548" s="660"/>
      <c r="S548" s="660"/>
      <c r="T548" s="660"/>
      <c r="U548" s="660"/>
      <c r="V548" s="660"/>
      <c r="W548" s="660"/>
      <c r="X548" s="660"/>
      <c r="Y548" s="660"/>
      <c r="Z548" s="660"/>
      <c r="AA548" s="660"/>
      <c r="AB548" s="660"/>
      <c r="AC548" s="661"/>
      <c r="AD548" s="660"/>
      <c r="AE548" s="660"/>
      <c r="AF548" s="660"/>
      <c r="AG548" s="660"/>
      <c r="AH548" s="562"/>
      <c r="AI548" s="563"/>
      <c r="AJ548" s="563" t="s">
        <v>1548</v>
      </c>
      <c r="AK548" s="2390">
        <f>SUM(AG492:AG537)</f>
        <v>0</v>
      </c>
      <c r="AL548" s="2436"/>
      <c r="AM548" s="2391"/>
      <c r="AN548" s="595"/>
      <c r="AP548" s="536"/>
      <c r="AQ548" s="536"/>
      <c r="AR548" s="536"/>
      <c r="AS548" s="536"/>
      <c r="AT548" s="536"/>
      <c r="AU548" s="536"/>
      <c r="AV548" s="536"/>
      <c r="AW548" s="536"/>
      <c r="AX548" s="536"/>
      <c r="AY548" s="536"/>
      <c r="AZ548" s="536"/>
    </row>
    <row r="549" spans="1:81" s="549" customFormat="1" ht="12.75" hidden="1" customHeight="1">
      <c r="B549" s="550"/>
      <c r="C549" s="550"/>
      <c r="D549" s="550"/>
      <c r="E549" s="550"/>
      <c r="F549" s="550"/>
      <c r="G549" s="550"/>
      <c r="H549" s="550"/>
      <c r="I549" s="550"/>
      <c r="J549" s="550"/>
      <c r="K549" s="550"/>
      <c r="L549" s="550"/>
      <c r="M549" s="550"/>
      <c r="N549" s="550"/>
      <c r="O549" s="550"/>
      <c r="P549" s="550"/>
      <c r="Q549" s="550"/>
      <c r="R549" s="550"/>
      <c r="S549" s="550"/>
      <c r="T549" s="550"/>
      <c r="U549" s="550"/>
      <c r="V549" s="550"/>
      <c r="W549" s="550"/>
      <c r="X549" s="550"/>
      <c r="Y549" s="550"/>
      <c r="Z549" s="550"/>
      <c r="AA549" s="550"/>
      <c r="AB549" s="550"/>
      <c r="AC549" s="614"/>
      <c r="AD549" s="550"/>
      <c r="AE549" s="550"/>
      <c r="AF549" s="550"/>
      <c r="AG549" s="550"/>
      <c r="AI549" s="543"/>
      <c r="AJ549" s="543"/>
      <c r="AK549" s="593"/>
      <c r="AL549" s="593"/>
      <c r="AM549" s="593"/>
      <c r="AN549" s="595"/>
      <c r="AP549" s="536"/>
      <c r="AQ549" s="536"/>
      <c r="AR549" s="536"/>
      <c r="AS549" s="536"/>
      <c r="AT549" s="536"/>
      <c r="AU549" s="536"/>
      <c r="AV549" s="536"/>
      <c r="AW549" s="536"/>
      <c r="AX549" s="536"/>
      <c r="AY549" s="536"/>
      <c r="AZ549" s="536"/>
    </row>
    <row r="550" spans="1:81" ht="13.5" thickTop="1"/>
    <row r="551" spans="1:81" s="549" customFormat="1" ht="12.75" customHeight="1">
      <c r="A551" s="539" t="s">
        <v>1444</v>
      </c>
      <c r="B551" s="539" t="s">
        <v>1550</v>
      </c>
      <c r="C551" s="550"/>
      <c r="D551" s="550"/>
      <c r="E551" s="550"/>
      <c r="F551" s="550"/>
      <c r="G551" s="550"/>
      <c r="H551" s="550"/>
      <c r="I551" s="550"/>
      <c r="J551" s="550"/>
      <c r="K551" s="550"/>
      <c r="L551" s="550"/>
      <c r="M551" s="550"/>
      <c r="N551" s="550"/>
      <c r="O551" s="550"/>
      <c r="P551" s="550"/>
      <c r="Q551" s="550"/>
      <c r="R551" s="550"/>
      <c r="S551" s="550"/>
      <c r="T551" s="550"/>
      <c r="U551" s="550"/>
      <c r="V551" s="550"/>
      <c r="W551" s="550"/>
      <c r="X551" s="550"/>
      <c r="Y551" s="550"/>
      <c r="Z551" s="550"/>
      <c r="AA551" s="550"/>
      <c r="AB551" s="550"/>
      <c r="AC551" s="614"/>
      <c r="AD551" s="550"/>
      <c r="AE551" s="2447" t="s">
        <v>1551</v>
      </c>
      <c r="AF551" s="2447"/>
      <c r="AG551" s="2447"/>
      <c r="AH551" s="2447"/>
      <c r="AI551" s="2447"/>
      <c r="AJ551" s="2447"/>
      <c r="AK551" s="2447"/>
      <c r="AL551" s="593"/>
      <c r="AM551" s="593"/>
      <c r="AN551" s="595"/>
    </row>
    <row r="552" spans="1:81" s="549" customFormat="1" ht="12.75" customHeight="1">
      <c r="A552" s="539"/>
      <c r="B552" s="539" t="s">
        <v>1318</v>
      </c>
      <c r="C552" s="550"/>
      <c r="D552" s="550"/>
      <c r="E552" s="550"/>
      <c r="F552" s="550"/>
      <c r="G552" s="550"/>
      <c r="H552" s="550"/>
      <c r="I552" s="550"/>
      <c r="J552" s="550"/>
      <c r="K552" s="550"/>
      <c r="L552" s="550"/>
      <c r="M552" s="550"/>
      <c r="N552" s="550"/>
      <c r="O552" s="550"/>
      <c r="P552" s="550"/>
      <c r="Q552" s="550"/>
      <c r="R552" s="550"/>
      <c r="S552" s="550"/>
      <c r="T552" s="550"/>
      <c r="U552" s="550"/>
      <c r="V552" s="550"/>
      <c r="W552" s="550"/>
      <c r="X552" s="550"/>
      <c r="Y552" s="550"/>
      <c r="Z552" s="550"/>
      <c r="AA552" s="550"/>
      <c r="AB552" s="550"/>
      <c r="AC552" s="614"/>
      <c r="AD552" s="550"/>
      <c r="AE552" s="543"/>
      <c r="AF552" s="543"/>
      <c r="AG552" s="543"/>
      <c r="AH552" s="543"/>
      <c r="AI552" s="543"/>
      <c r="AJ552" s="543"/>
      <c r="AK552" s="543"/>
      <c r="AL552" s="593"/>
      <c r="AM552" s="593"/>
      <c r="AN552" s="595"/>
    </row>
    <row r="553" spans="1:81" s="549" customFormat="1" ht="12.75" customHeight="1">
      <c r="A553" s="539"/>
      <c r="B553" s="539"/>
      <c r="C553" s="550"/>
      <c r="D553" s="550"/>
      <c r="E553" s="550"/>
      <c r="F553" s="550"/>
      <c r="G553" s="550"/>
      <c r="H553" s="550"/>
      <c r="I553" s="550"/>
      <c r="J553" s="550"/>
      <c r="K553" s="550"/>
      <c r="L553" s="550"/>
      <c r="M553" s="550"/>
      <c r="N553" s="550"/>
      <c r="O553" s="550"/>
      <c r="P553" s="550"/>
      <c r="Q553" s="550"/>
      <c r="R553" s="550"/>
      <c r="S553" s="550"/>
      <c r="T553" s="550"/>
      <c r="U553" s="550"/>
      <c r="V553" s="550"/>
      <c r="W553" s="550"/>
      <c r="X553" s="550"/>
      <c r="Y553" s="550"/>
      <c r="Z553" s="550"/>
      <c r="AA553" s="550"/>
      <c r="AB553" s="550"/>
      <c r="AC553" s="614"/>
      <c r="AD553" s="550"/>
      <c r="AE553" s="543"/>
      <c r="AF553" s="543"/>
      <c r="AG553" s="543"/>
      <c r="AH553" s="543"/>
      <c r="AI553" s="543"/>
      <c r="AJ553" s="543"/>
      <c r="AK553" s="543"/>
      <c r="AL553" s="593"/>
      <c r="AM553" s="593"/>
      <c r="AN553" s="595"/>
    </row>
    <row r="554" spans="1:81" s="549" customFormat="1" ht="12.75" customHeight="1">
      <c r="A554" s="539"/>
      <c r="B554" s="539"/>
      <c r="C554" s="2409" t="s">
        <v>545</v>
      </c>
      <c r="D554" s="2409"/>
      <c r="E554" s="550"/>
      <c r="F554" s="2549" t="s">
        <v>1552</v>
      </c>
      <c r="G554" s="2550"/>
      <c r="H554" s="2550"/>
      <c r="I554" s="2550"/>
      <c r="J554" s="2550"/>
      <c r="K554" s="2550"/>
      <c r="L554" s="2550"/>
      <c r="M554" s="2550"/>
      <c r="N554" s="2550"/>
      <c r="O554" s="2550"/>
      <c r="P554" s="2550"/>
      <c r="Q554" s="2550"/>
      <c r="R554" s="2550"/>
      <c r="S554" s="2550"/>
      <c r="T554" s="2550"/>
      <c r="U554" s="2550"/>
      <c r="V554" s="2550"/>
      <c r="W554" s="2550"/>
      <c r="X554" s="2550"/>
      <c r="Y554" s="2550"/>
      <c r="Z554" s="2550"/>
      <c r="AA554" s="2550"/>
      <c r="AB554" s="2550"/>
      <c r="AC554" s="2550"/>
      <c r="AD554" s="2550"/>
      <c r="AE554" s="2550"/>
      <c r="AF554" s="2550"/>
      <c r="AG554" s="2550"/>
      <c r="AH554" s="2550"/>
      <c r="AI554" s="2550"/>
      <c r="AJ554" s="2550"/>
      <c r="AK554" s="2550"/>
      <c r="AL554" s="2551"/>
      <c r="AM554" s="593"/>
      <c r="AN554" s="595"/>
    </row>
    <row r="555" spans="1:81" s="549" customFormat="1" ht="12.75" customHeight="1">
      <c r="B555" s="539"/>
      <c r="C555" s="550"/>
      <c r="D555" s="550"/>
      <c r="E555" s="550"/>
      <c r="F555" s="2552"/>
      <c r="G555" s="2553"/>
      <c r="H555" s="2553"/>
      <c r="I555" s="2553"/>
      <c r="J555" s="2553"/>
      <c r="K555" s="2553"/>
      <c r="L555" s="2553"/>
      <c r="M555" s="2553"/>
      <c r="N555" s="2553"/>
      <c r="O555" s="2553"/>
      <c r="P555" s="2553"/>
      <c r="Q555" s="2553"/>
      <c r="R555" s="2553"/>
      <c r="S555" s="2553"/>
      <c r="T555" s="2553"/>
      <c r="U555" s="2553"/>
      <c r="V555" s="2553"/>
      <c r="W555" s="2553"/>
      <c r="X555" s="2553"/>
      <c r="Y555" s="2553"/>
      <c r="Z555" s="2553"/>
      <c r="AA555" s="2553"/>
      <c r="AB555" s="2553"/>
      <c r="AC555" s="2553"/>
      <c r="AD555" s="2553"/>
      <c r="AE555" s="2553"/>
      <c r="AF555" s="2553"/>
      <c r="AG555" s="2553"/>
      <c r="AH555" s="2553"/>
      <c r="AI555" s="2553"/>
      <c r="AJ555" s="2553"/>
      <c r="AK555" s="2553"/>
      <c r="AL555" s="2554"/>
      <c r="AM555" s="593"/>
      <c r="AN555" s="595"/>
    </row>
    <row r="556" spans="1:81" s="549" customFormat="1" ht="12.75" customHeight="1">
      <c r="A556" s="539"/>
      <c r="B556" s="539"/>
      <c r="C556" s="550"/>
      <c r="D556" s="550"/>
      <c r="E556" s="550"/>
      <c r="F556" s="801"/>
      <c r="G556" s="801"/>
      <c r="H556" s="801"/>
      <c r="I556" s="801"/>
      <c r="J556" s="801"/>
      <c r="K556" s="801"/>
      <c r="L556" s="801"/>
      <c r="M556" s="801"/>
      <c r="N556" s="801"/>
      <c r="O556" s="801"/>
      <c r="P556" s="801"/>
      <c r="Q556" s="801"/>
      <c r="R556" s="801"/>
      <c r="S556" s="801"/>
      <c r="T556" s="801"/>
      <c r="U556" s="801"/>
      <c r="V556" s="801"/>
      <c r="W556" s="801"/>
      <c r="X556" s="801"/>
      <c r="Y556" s="801"/>
      <c r="Z556" s="801"/>
      <c r="AA556" s="801"/>
      <c r="AB556" s="801"/>
      <c r="AC556" s="801"/>
      <c r="AD556" s="801"/>
      <c r="AE556" s="801"/>
      <c r="AF556" s="801"/>
      <c r="AG556" s="801"/>
      <c r="AH556" s="801"/>
      <c r="AI556" s="801"/>
      <c r="AJ556" s="801"/>
      <c r="AK556" s="801"/>
      <c r="AL556" s="801"/>
      <c r="AM556" s="593"/>
      <c r="AN556" s="595"/>
    </row>
    <row r="557" spans="1:81" s="549" customFormat="1" ht="12.75" customHeight="1">
      <c r="A557" s="539"/>
      <c r="B557" s="802"/>
      <c r="C557" s="2409" t="s">
        <v>591</v>
      </c>
      <c r="D557" s="2409"/>
      <c r="E557" s="802"/>
      <c r="F557" s="642" t="s">
        <v>1553</v>
      </c>
      <c r="G557" s="803"/>
      <c r="H557" s="804"/>
      <c r="I557" s="804"/>
      <c r="J557" s="804"/>
      <c r="K557" s="804"/>
      <c r="L557" s="804"/>
      <c r="M557" s="804"/>
      <c r="N557" s="804"/>
      <c r="O557" s="804"/>
      <c r="P557" s="804"/>
      <c r="Q557" s="804"/>
      <c r="R557" s="804"/>
      <c r="S557" s="804"/>
      <c r="T557" s="804"/>
      <c r="U557" s="804"/>
      <c r="V557" s="804"/>
      <c r="W557" s="804"/>
      <c r="X557" s="804"/>
      <c r="Y557" s="804"/>
      <c r="Z557" s="804"/>
      <c r="AA557" s="804"/>
      <c r="AB557" s="804"/>
      <c r="AC557" s="804"/>
      <c r="AD557" s="804"/>
      <c r="AE557" s="804"/>
      <c r="AF557" s="804"/>
      <c r="AG557" s="804"/>
      <c r="AH557" s="804"/>
      <c r="AI557" s="804"/>
      <c r="AJ557" s="804"/>
      <c r="AK557" s="805"/>
      <c r="AL557" s="806"/>
      <c r="AM557" s="593"/>
      <c r="AN557" s="595"/>
    </row>
    <row r="558" spans="1:81" s="549" customFormat="1" ht="12.75" customHeight="1">
      <c r="B558" s="802"/>
      <c r="C558" s="802"/>
      <c r="D558" s="802"/>
      <c r="E558" s="802"/>
      <c r="F558" s="2429" t="s">
        <v>2623</v>
      </c>
      <c r="G558" s="2387"/>
      <c r="H558" s="2387"/>
      <c r="I558" s="2387"/>
      <c r="J558" s="2387"/>
      <c r="K558" s="2387"/>
      <c r="L558" s="2387"/>
      <c r="M558" s="2387"/>
      <c r="N558" s="2387"/>
      <c r="O558" s="2387"/>
      <c r="P558" s="2387"/>
      <c r="Q558" s="2387"/>
      <c r="R558" s="2387"/>
      <c r="S558" s="2387"/>
      <c r="T558" s="2387"/>
      <c r="U558" s="2387"/>
      <c r="V558" s="2387"/>
      <c r="W558" s="2387"/>
      <c r="X558" s="2387"/>
      <c r="Y558" s="2387"/>
      <c r="Z558" s="2387"/>
      <c r="AA558" s="2387"/>
      <c r="AB558" s="2387"/>
      <c r="AC558" s="2387"/>
      <c r="AD558" s="2387"/>
      <c r="AE558" s="2387"/>
      <c r="AF558" s="2387"/>
      <c r="AG558" s="2387"/>
      <c r="AH558" s="2387"/>
      <c r="AI558" s="2387"/>
      <c r="AJ558" s="2387"/>
      <c r="AK558" s="2387"/>
      <c r="AL558" s="2430"/>
      <c r="AM558" s="593"/>
      <c r="AN558" s="595"/>
      <c r="AS558" s="866"/>
      <c r="AT558" s="866"/>
      <c r="AU558" s="866"/>
      <c r="AV558" s="866"/>
      <c r="AW558" s="866"/>
    </row>
    <row r="559" spans="1:81" s="549" customFormat="1" ht="12.75" customHeight="1">
      <c r="B559" s="802"/>
      <c r="C559" s="802"/>
      <c r="D559" s="802"/>
      <c r="E559" s="802"/>
      <c r="F559" s="2429"/>
      <c r="G559" s="2387"/>
      <c r="H559" s="2387"/>
      <c r="I559" s="2387"/>
      <c r="J559" s="2387"/>
      <c r="K559" s="2387"/>
      <c r="L559" s="2387"/>
      <c r="M559" s="2387"/>
      <c r="N559" s="2387"/>
      <c r="O559" s="2387"/>
      <c r="P559" s="2387"/>
      <c r="Q559" s="2387"/>
      <c r="R559" s="2387"/>
      <c r="S559" s="2387"/>
      <c r="T559" s="2387"/>
      <c r="U559" s="2387"/>
      <c r="V559" s="2387"/>
      <c r="W559" s="2387"/>
      <c r="X559" s="2387"/>
      <c r="Y559" s="2387"/>
      <c r="Z559" s="2387"/>
      <c r="AA559" s="2387"/>
      <c r="AB559" s="2387"/>
      <c r="AC559" s="2387"/>
      <c r="AD559" s="2387"/>
      <c r="AE559" s="2387"/>
      <c r="AF559" s="2387"/>
      <c r="AG559" s="2387"/>
      <c r="AH559" s="2387"/>
      <c r="AI559" s="2387"/>
      <c r="AJ559" s="2387"/>
      <c r="AK559" s="2387"/>
      <c r="AL559" s="2430"/>
      <c r="AM559" s="593"/>
      <c r="AN559" s="595"/>
    </row>
    <row r="560" spans="1:81" s="549" customFormat="1" ht="12.75" customHeight="1">
      <c r="B560" s="802"/>
      <c r="C560" s="802"/>
      <c r="D560" s="802"/>
      <c r="E560" s="802"/>
      <c r="F560" s="807" t="s">
        <v>1991</v>
      </c>
      <c r="G560" s="614"/>
      <c r="H560" s="614"/>
      <c r="I560" s="614"/>
      <c r="J560" s="614"/>
      <c r="K560" s="614"/>
      <c r="L560" s="614"/>
      <c r="M560" s="614"/>
      <c r="N560" s="614"/>
      <c r="O560" s="614"/>
      <c r="P560" s="614"/>
      <c r="Q560" s="614"/>
      <c r="R560" s="614"/>
      <c r="S560" s="614"/>
      <c r="T560" s="614"/>
      <c r="U560" s="614"/>
      <c r="V560" s="614"/>
      <c r="W560" s="614"/>
      <c r="X560" s="614"/>
      <c r="Y560" s="614"/>
      <c r="Z560" s="614"/>
      <c r="AA560" s="614"/>
      <c r="AB560" s="614"/>
      <c r="AC560" s="614"/>
      <c r="AD560" s="614"/>
      <c r="AE560" s="614"/>
      <c r="AF560" s="614"/>
      <c r="AG560" s="614"/>
      <c r="AH560" s="614"/>
      <c r="AI560" s="614"/>
      <c r="AJ560" s="614"/>
      <c r="AK560" s="614"/>
      <c r="AL560" s="808"/>
      <c r="AM560" s="593"/>
      <c r="AN560" s="595"/>
    </row>
    <row r="561" spans="1:45" s="549" customFormat="1" ht="12.75" customHeight="1">
      <c r="B561" s="802"/>
      <c r="C561" s="802"/>
      <c r="D561" s="802"/>
      <c r="E561" s="802"/>
      <c r="F561" s="2429" t="s">
        <v>1554</v>
      </c>
      <c r="G561" s="2387"/>
      <c r="H561" s="2387"/>
      <c r="I561" s="2387"/>
      <c r="J561" s="2387"/>
      <c r="K561" s="2387"/>
      <c r="L561" s="2387"/>
      <c r="M561" s="2387"/>
      <c r="N561" s="2387"/>
      <c r="O561" s="2387"/>
      <c r="P561" s="2387"/>
      <c r="Q561" s="2387"/>
      <c r="R561" s="2387"/>
      <c r="S561" s="2387"/>
      <c r="T561" s="2387"/>
      <c r="U561" s="2387"/>
      <c r="V561" s="2387"/>
      <c r="W561" s="2387"/>
      <c r="X561" s="2387"/>
      <c r="Y561" s="2387"/>
      <c r="Z561" s="2387"/>
      <c r="AA561" s="2387"/>
      <c r="AB561" s="2387"/>
      <c r="AC561" s="2387"/>
      <c r="AD561" s="2387"/>
      <c r="AE561" s="2387"/>
      <c r="AF561" s="2387"/>
      <c r="AG561" s="2387"/>
      <c r="AH561" s="2387"/>
      <c r="AI561" s="2387"/>
      <c r="AJ561" s="2387"/>
      <c r="AK561" s="2387"/>
      <c r="AL561" s="809"/>
      <c r="AM561" s="593"/>
      <c r="AN561" s="595"/>
    </row>
    <row r="562" spans="1:45" s="549" customFormat="1" ht="12.75" customHeight="1">
      <c r="B562" s="802"/>
      <c r="C562" s="802"/>
      <c r="D562" s="802"/>
      <c r="E562" s="802"/>
      <c r="F562" s="2431"/>
      <c r="G562" s="2432"/>
      <c r="H562" s="2432"/>
      <c r="I562" s="2432"/>
      <c r="J562" s="2432"/>
      <c r="K562" s="2432"/>
      <c r="L562" s="2432"/>
      <c r="M562" s="2432"/>
      <c r="N562" s="2432"/>
      <c r="O562" s="2432"/>
      <c r="P562" s="2432"/>
      <c r="Q562" s="2432"/>
      <c r="R562" s="2432"/>
      <c r="S562" s="2432"/>
      <c r="T562" s="2432"/>
      <c r="U562" s="2432"/>
      <c r="V562" s="2432"/>
      <c r="W562" s="2432"/>
      <c r="X562" s="2432"/>
      <c r="Y562" s="2432"/>
      <c r="Z562" s="2432"/>
      <c r="AA562" s="2432"/>
      <c r="AB562" s="2432"/>
      <c r="AC562" s="2432"/>
      <c r="AD562" s="2432"/>
      <c r="AE562" s="2432"/>
      <c r="AF562" s="2432"/>
      <c r="AG562" s="2432"/>
      <c r="AH562" s="2432"/>
      <c r="AI562" s="2432"/>
      <c r="AJ562" s="2432"/>
      <c r="AK562" s="2432"/>
      <c r="AL562" s="810"/>
      <c r="AM562" s="593"/>
      <c r="AN562" s="595"/>
    </row>
    <row r="563" spans="1:45" s="549" customFormat="1" ht="12.75" customHeight="1">
      <c r="B563" s="802"/>
      <c r="C563" s="802"/>
      <c r="D563" s="802"/>
      <c r="E563" s="802"/>
      <c r="F563" s="640"/>
      <c r="G563" s="640"/>
      <c r="H563" s="640"/>
      <c r="I563" s="640"/>
      <c r="J563" s="640"/>
      <c r="K563" s="640"/>
      <c r="L563" s="640"/>
      <c r="M563" s="640"/>
      <c r="N563" s="640"/>
      <c r="O563" s="640"/>
      <c r="P563" s="640"/>
      <c r="Q563" s="640"/>
      <c r="R563" s="640"/>
      <c r="S563" s="640"/>
      <c r="T563" s="640"/>
      <c r="U563" s="640"/>
      <c r="V563" s="640"/>
      <c r="W563" s="640"/>
      <c r="X563" s="640"/>
      <c r="Y563" s="640"/>
      <c r="Z563" s="640"/>
      <c r="AA563" s="640"/>
      <c r="AB563" s="640"/>
      <c r="AC563" s="640"/>
      <c r="AD563" s="640"/>
      <c r="AE563" s="640"/>
      <c r="AF563" s="640"/>
      <c r="AG563" s="640"/>
      <c r="AH563" s="640"/>
      <c r="AI563" s="640"/>
      <c r="AJ563" s="640"/>
      <c r="AK563" s="640"/>
      <c r="AL563" s="593"/>
      <c r="AM563" s="593"/>
      <c r="AN563" s="595"/>
      <c r="AP563" s="2428">
        <f>Application!AJ1001</f>
        <v>28494914</v>
      </c>
      <c r="AQ563" s="2428"/>
      <c r="AR563" s="2428"/>
      <c r="AS563" s="549" t="s">
        <v>2123</v>
      </c>
    </row>
    <row r="564" spans="1:45" s="549" customFormat="1" ht="12.75" customHeight="1">
      <c r="A564" s="498"/>
      <c r="B564" s="447" t="s">
        <v>1555</v>
      </c>
      <c r="C564" s="621"/>
      <c r="D564" s="621"/>
      <c r="E564" s="621"/>
      <c r="F564" s="14"/>
      <c r="G564" s="622"/>
      <c r="H564" s="622"/>
      <c r="I564" s="622"/>
      <c r="J564" s="622"/>
      <c r="K564" s="622"/>
      <c r="L564" s="622"/>
      <c r="M564" s="622"/>
      <c r="N564" s="622"/>
      <c r="O564" s="622"/>
      <c r="P564" s="622"/>
      <c r="Q564" s="622"/>
      <c r="R564" s="14"/>
      <c r="S564" s="14"/>
      <c r="T564" s="14"/>
      <c r="U564" s="14"/>
      <c r="V564" s="14"/>
      <c r="W564" s="14"/>
      <c r="X564" s="622"/>
      <c r="Y564" s="622"/>
      <c r="Z564" s="622"/>
      <c r="AA564" s="620"/>
      <c r="AB564" s="620"/>
      <c r="AC564" s="620"/>
      <c r="AD564" s="620"/>
      <c r="AE564" s="14"/>
      <c r="AF564" s="2433">
        <f>'Sources and Uses Budget'!S107+'Sources and Uses Budget'!T107</f>
        <v>30927429</v>
      </c>
      <c r="AG564" s="2433"/>
      <c r="AH564" s="2433"/>
      <c r="AI564" s="2433"/>
      <c r="AJ564" s="2433"/>
      <c r="AK564" s="593"/>
      <c r="AL564" s="593"/>
      <c r="AM564" s="593"/>
      <c r="AN564" s="595"/>
    </row>
    <row r="565" spans="1:45" s="549" customFormat="1" ht="12.75" customHeight="1">
      <c r="A565" s="623"/>
      <c r="B565" s="623" t="s">
        <v>1556</v>
      </c>
      <c r="C565" s="622"/>
      <c r="D565" s="622"/>
      <c r="E565" s="624"/>
      <c r="F565" s="624"/>
      <c r="G565" s="624"/>
      <c r="H565" s="624"/>
      <c r="I565" s="624"/>
      <c r="J565" s="624"/>
      <c r="K565" s="624"/>
      <c r="L565" s="622"/>
      <c r="M565" s="624"/>
      <c r="N565" s="624"/>
      <c r="O565" s="624"/>
      <c r="P565" s="624"/>
      <c r="Q565" s="624"/>
      <c r="R565" s="14"/>
      <c r="S565" s="14"/>
      <c r="T565" s="14"/>
      <c r="U565" s="14"/>
      <c r="V565" s="14"/>
      <c r="W565" s="14"/>
      <c r="X565" s="622"/>
      <c r="Y565" s="622"/>
      <c r="Z565" s="622"/>
      <c r="AA565" s="620"/>
      <c r="AB565" s="620"/>
      <c r="AC565" s="620"/>
      <c r="AD565" s="620"/>
      <c r="AE565" s="14"/>
      <c r="AF565" s="2434">
        <f>IFERROR(AP572,0)</f>
        <v>47871455.519999996</v>
      </c>
      <c r="AG565" s="2434"/>
      <c r="AH565" s="2434"/>
      <c r="AI565" s="2434"/>
      <c r="AJ565" s="2434"/>
      <c r="AK565" s="593"/>
      <c r="AL565" s="593"/>
      <c r="AM565" s="593"/>
      <c r="AN565" s="595"/>
      <c r="AP565" s="2428">
        <f>Application!AJ1054</f>
        <v>5698982.8000000007</v>
      </c>
      <c r="AQ565" s="2428"/>
      <c r="AR565" s="2428"/>
      <c r="AS565" s="549" t="s">
        <v>1838</v>
      </c>
    </row>
    <row r="566" spans="1:45" s="549" customFormat="1" ht="12.75" customHeight="1">
      <c r="A566" s="622"/>
      <c r="B566" s="622" t="s">
        <v>13</v>
      </c>
      <c r="C566" s="622"/>
      <c r="D566" s="622"/>
      <c r="E566" s="622"/>
      <c r="F566" s="622"/>
      <c r="G566" s="622"/>
      <c r="H566" s="622"/>
      <c r="I566" s="622"/>
      <c r="J566" s="622"/>
      <c r="K566" s="622"/>
      <c r="L566" s="622"/>
      <c r="M566" s="622"/>
      <c r="N566" s="622"/>
      <c r="O566" s="622"/>
      <c r="P566" s="622"/>
      <c r="Q566" s="622"/>
      <c r="R566" s="14"/>
      <c r="S566" s="14"/>
      <c r="T566" s="14"/>
      <c r="U566" s="14"/>
      <c r="V566" s="14"/>
      <c r="W566" s="14"/>
      <c r="X566" s="622"/>
      <c r="Y566" s="622"/>
      <c r="Z566" s="622"/>
      <c r="AA566" s="620"/>
      <c r="AB566" s="620"/>
      <c r="AC566" s="620"/>
      <c r="AD566" s="620"/>
      <c r="AE566" s="14"/>
      <c r="AF566" s="2435">
        <f>IFERROR(ROUNDDOWN(IF(C557="YES",((1-(AF564/AF565))*2),(1-(AF564/AF565))),2),0)</f>
        <v>0.35</v>
      </c>
      <c r="AG566" s="2435"/>
      <c r="AH566" s="2435"/>
      <c r="AI566" s="2435"/>
      <c r="AJ566" s="2435"/>
      <c r="AK566" s="593"/>
      <c r="AL566" s="593"/>
      <c r="AM566" s="593"/>
      <c r="AN566" s="595"/>
      <c r="AP566" s="2426">
        <f>Application!AJ1058</f>
        <v>7978575.9200000009</v>
      </c>
      <c r="AQ566" s="2426"/>
      <c r="AR566" s="2426"/>
      <c r="AS566" s="549" t="s">
        <v>2124</v>
      </c>
    </row>
    <row r="567" spans="1:45" s="549" customFormat="1" ht="12.75" customHeight="1">
      <c r="A567" s="622"/>
      <c r="B567" s="622"/>
      <c r="C567" s="622"/>
      <c r="D567" s="622"/>
      <c r="E567" s="622"/>
      <c r="F567" s="622"/>
      <c r="G567" s="622"/>
      <c r="H567" s="622"/>
      <c r="I567" s="622"/>
      <c r="J567" s="622"/>
      <c r="K567" s="622"/>
      <c r="L567" s="622"/>
      <c r="M567" s="622"/>
      <c r="N567" s="622"/>
      <c r="O567" s="622"/>
      <c r="P567" s="622"/>
      <c r="Q567" s="622"/>
      <c r="R567" s="14"/>
      <c r="S567" s="14"/>
      <c r="T567" s="14"/>
      <c r="U567" s="14"/>
      <c r="V567" s="14"/>
      <c r="W567" s="14"/>
      <c r="X567" s="622"/>
      <c r="Y567" s="622"/>
      <c r="Z567" s="622"/>
      <c r="AA567" s="620"/>
      <c r="AB567" s="620"/>
      <c r="AC567" s="620"/>
      <c r="AD567" s="620"/>
      <c r="AE567" s="14"/>
      <c r="AF567" s="811"/>
      <c r="AG567" s="811"/>
      <c r="AH567" s="811"/>
      <c r="AI567" s="811"/>
      <c r="AJ567" s="811"/>
      <c r="AK567" s="593"/>
      <c r="AL567" s="593"/>
      <c r="AM567" s="593"/>
      <c r="AN567" s="595"/>
      <c r="AP567" s="2456">
        <f>IF(((AP565+AP566)/AP563)&gt;0.8,0.8,((AP565+AP566)/AP563))</f>
        <v>0.48000000000000009</v>
      </c>
      <c r="AQ567" s="2456"/>
      <c r="AR567" s="2456"/>
      <c r="AS567" s="549" t="s">
        <v>2125</v>
      </c>
    </row>
    <row r="568" spans="1:45" s="549" customFormat="1" ht="12.75" customHeight="1">
      <c r="A568" s="622"/>
      <c r="B568" s="2506" t="s">
        <v>1992</v>
      </c>
      <c r="C568" s="2507"/>
      <c r="D568" s="2507"/>
      <c r="E568" s="2507"/>
      <c r="F568" s="2507"/>
      <c r="G568" s="2507"/>
      <c r="H568" s="2507"/>
      <c r="I568" s="2507"/>
      <c r="J568" s="2507"/>
      <c r="K568" s="2507"/>
      <c r="L568" s="2507"/>
      <c r="M568" s="2507"/>
      <c r="N568" s="2507"/>
      <c r="O568" s="2507"/>
      <c r="P568" s="2507"/>
      <c r="Q568" s="2507"/>
      <c r="R568" s="2507"/>
      <c r="S568" s="2507"/>
      <c r="T568" s="2507"/>
      <c r="U568" s="2507"/>
      <c r="V568" s="2507"/>
      <c r="W568" s="2507"/>
      <c r="X568" s="2507"/>
      <c r="Y568" s="2507"/>
      <c r="Z568" s="2507"/>
      <c r="AA568" s="2507"/>
      <c r="AB568" s="2507"/>
      <c r="AC568" s="2507"/>
      <c r="AD568" s="2507"/>
      <c r="AE568" s="2507"/>
      <c r="AF568" s="2507"/>
      <c r="AG568" s="2507"/>
      <c r="AH568" s="2507"/>
      <c r="AI568" s="2507"/>
      <c r="AJ568" s="2508"/>
      <c r="AK568" s="593"/>
      <c r="AL568" s="593"/>
      <c r="AM568" s="593"/>
      <c r="AN568" s="595"/>
    </row>
    <row r="569" spans="1:45" s="549" customFormat="1" ht="12.75" customHeight="1">
      <c r="A569" s="622"/>
      <c r="B569" s="2509"/>
      <c r="C569" s="2510"/>
      <c r="D569" s="2510"/>
      <c r="E569" s="2510"/>
      <c r="F569" s="2510"/>
      <c r="G569" s="2510"/>
      <c r="H569" s="2510"/>
      <c r="I569" s="2510"/>
      <c r="J569" s="2510"/>
      <c r="K569" s="2510"/>
      <c r="L569" s="2510"/>
      <c r="M569" s="2510"/>
      <c r="N569" s="2510"/>
      <c r="O569" s="2510"/>
      <c r="P569" s="2510"/>
      <c r="Q569" s="2510"/>
      <c r="R569" s="2510"/>
      <c r="S569" s="2510"/>
      <c r="T569" s="2510"/>
      <c r="U569" s="2510"/>
      <c r="V569" s="2510"/>
      <c r="W569" s="2510"/>
      <c r="X569" s="2510"/>
      <c r="Y569" s="2510"/>
      <c r="Z569" s="2510"/>
      <c r="AA569" s="2510"/>
      <c r="AB569" s="2510"/>
      <c r="AC569" s="2510"/>
      <c r="AD569" s="2510"/>
      <c r="AE569" s="2510"/>
      <c r="AF569" s="2510"/>
      <c r="AG569" s="2510"/>
      <c r="AH569" s="2510"/>
      <c r="AI569" s="2510"/>
      <c r="AJ569" s="2511"/>
      <c r="AK569" s="593"/>
      <c r="AL569" s="593"/>
      <c r="AM569" s="593"/>
      <c r="AN569" s="595"/>
      <c r="AP569" s="2428">
        <f>AP570-AP565-AP566</f>
        <v>34193896.799999997</v>
      </c>
      <c r="AQ569" s="2457"/>
      <c r="AR569" s="2457"/>
      <c r="AS569" s="549" t="s">
        <v>2127</v>
      </c>
    </row>
    <row r="570" spans="1:45" s="549" customFormat="1" ht="12.75" customHeight="1">
      <c r="A570" s="622"/>
      <c r="B570" s="2512"/>
      <c r="C570" s="2513"/>
      <c r="D570" s="2513"/>
      <c r="E570" s="2513"/>
      <c r="F570" s="2513"/>
      <c r="G570" s="2513"/>
      <c r="H570" s="2513"/>
      <c r="I570" s="2513"/>
      <c r="J570" s="2513"/>
      <c r="K570" s="2513"/>
      <c r="L570" s="2513"/>
      <c r="M570" s="2513"/>
      <c r="N570" s="2513"/>
      <c r="O570" s="2513"/>
      <c r="P570" s="2513"/>
      <c r="Q570" s="2513"/>
      <c r="R570" s="2513"/>
      <c r="S570" s="2513"/>
      <c r="T570" s="2513"/>
      <c r="U570" s="2513"/>
      <c r="V570" s="2513"/>
      <c r="W570" s="2513"/>
      <c r="X570" s="2513"/>
      <c r="Y570" s="2513"/>
      <c r="Z570" s="2513"/>
      <c r="AA570" s="2513"/>
      <c r="AB570" s="2513"/>
      <c r="AC570" s="2513"/>
      <c r="AD570" s="2513"/>
      <c r="AE570" s="2513"/>
      <c r="AF570" s="2513"/>
      <c r="AG570" s="2513"/>
      <c r="AH570" s="2513"/>
      <c r="AI570" s="2513"/>
      <c r="AJ570" s="2514"/>
      <c r="AK570" s="593"/>
      <c r="AL570" s="593"/>
      <c r="AM570" s="593"/>
      <c r="AN570" s="595"/>
      <c r="AP570" s="2428">
        <f>Application!AJ1062</f>
        <v>47871455.519999996</v>
      </c>
      <c r="AQ570" s="2428"/>
      <c r="AR570" s="2428"/>
      <c r="AS570" s="549" t="s">
        <v>2126</v>
      </c>
    </row>
    <row r="571" spans="1:45" s="549" customFormat="1" ht="12.75" customHeight="1">
      <c r="B571" s="550"/>
      <c r="C571" s="550"/>
      <c r="D571" s="550"/>
      <c r="E571" s="550"/>
      <c r="F571" s="550"/>
      <c r="G571" s="550"/>
      <c r="H571" s="550"/>
      <c r="I571" s="550"/>
      <c r="J571" s="550"/>
      <c r="K571" s="550"/>
      <c r="L571" s="550"/>
      <c r="M571" s="550"/>
      <c r="N571" s="550"/>
      <c r="O571" s="550"/>
      <c r="P571" s="550"/>
      <c r="Q571" s="550"/>
      <c r="R571" s="550"/>
      <c r="S571" s="550"/>
      <c r="T571" s="550"/>
      <c r="U571" s="550"/>
      <c r="V571" s="550"/>
      <c r="W571" s="550"/>
      <c r="X571" s="550"/>
      <c r="Y571" s="550"/>
      <c r="Z571" s="550"/>
      <c r="AA571" s="550"/>
      <c r="AB571" s="550"/>
      <c r="AC571" s="614"/>
      <c r="AD571" s="550"/>
      <c r="AI571" s="543"/>
      <c r="AJ571" s="543"/>
      <c r="AK571" s="593"/>
      <c r="AL571" s="593"/>
      <c r="AM571" s="593"/>
      <c r="AN571" s="595"/>
    </row>
    <row r="572" spans="1:45" s="549" customFormat="1" ht="12.75" customHeight="1">
      <c r="A572" s="626"/>
      <c r="B572" s="626"/>
      <c r="C572" s="626"/>
      <c r="D572" s="626"/>
      <c r="E572" s="626"/>
      <c r="F572" s="626"/>
      <c r="G572" s="626"/>
      <c r="H572" s="626"/>
      <c r="I572" s="626"/>
      <c r="J572" s="626"/>
      <c r="K572" s="626"/>
      <c r="L572" s="626"/>
      <c r="M572" s="626"/>
      <c r="N572" s="626"/>
      <c r="O572" s="626"/>
      <c r="P572" s="626"/>
      <c r="Q572" s="626"/>
      <c r="R572" s="626"/>
      <c r="S572" s="626"/>
      <c r="T572" s="626"/>
      <c r="U572" s="626"/>
      <c r="V572" s="626"/>
      <c r="W572" s="626"/>
      <c r="X572" s="626"/>
      <c r="Y572" s="626"/>
      <c r="Z572" s="626"/>
      <c r="AA572" s="626"/>
      <c r="AB572" s="626"/>
      <c r="AC572" s="626"/>
      <c r="AD572" s="626"/>
      <c r="AE572" s="626"/>
      <c r="AF572" s="626"/>
      <c r="AG572" s="626"/>
      <c r="AH572" s="627"/>
      <c r="AI572" s="563"/>
      <c r="AJ572" s="563" t="s">
        <v>1557</v>
      </c>
      <c r="AK572" s="2515">
        <f>IFERROR(IF(AND(C554="N/A",C557="N/A"),0,IF(AF566=0,0,IF((AF566*100)&gt;12,12,(AF566*100)))),0)</f>
        <v>12</v>
      </c>
      <c r="AL572" s="2515"/>
      <c r="AM572" s="2516"/>
      <c r="AN572" s="595"/>
      <c r="AP572" s="2417">
        <f>AP569+(AP563*AP567)</f>
        <v>47871455.519999996</v>
      </c>
      <c r="AQ572" s="2418"/>
      <c r="AR572" s="2419"/>
    </row>
    <row r="573" spans="1:45" s="549" customFormat="1" ht="12.75" customHeight="1" thickBot="1">
      <c r="A573" s="755"/>
      <c r="B573" s="755"/>
      <c r="C573" s="755"/>
      <c r="D573" s="755"/>
      <c r="E573" s="755"/>
      <c r="F573" s="755"/>
      <c r="G573" s="755"/>
      <c r="H573" s="755"/>
      <c r="I573" s="755"/>
      <c r="J573" s="755"/>
      <c r="K573" s="755"/>
      <c r="L573" s="755"/>
      <c r="M573" s="755"/>
      <c r="N573" s="755"/>
      <c r="O573" s="755"/>
      <c r="P573" s="755"/>
      <c r="Q573" s="755"/>
      <c r="R573" s="755"/>
      <c r="S573" s="755"/>
      <c r="T573" s="755"/>
      <c r="U573" s="755"/>
      <c r="V573" s="755"/>
      <c r="W573" s="755"/>
      <c r="X573" s="755"/>
      <c r="Y573" s="755"/>
      <c r="Z573" s="755"/>
      <c r="AA573" s="755"/>
      <c r="AB573" s="755"/>
      <c r="AC573" s="755"/>
      <c r="AD573" s="755"/>
      <c r="AE573" s="755"/>
      <c r="AF573" s="755"/>
      <c r="AG573" s="755"/>
      <c r="AH573" s="755"/>
      <c r="AI573" s="755"/>
      <c r="AJ573" s="755"/>
      <c r="AK573" s="755"/>
      <c r="AL573" s="755"/>
      <c r="AM573" s="756"/>
      <c r="AN573" s="595"/>
    </row>
    <row r="574" spans="1:45" s="549" customFormat="1" ht="12.75" customHeight="1" thickTop="1">
      <c r="A574" s="662"/>
      <c r="B574" s="663"/>
      <c r="C574" s="662"/>
      <c r="D574" s="663"/>
      <c r="E574" s="663"/>
      <c r="F574" s="663"/>
      <c r="G574" s="663"/>
      <c r="H574" s="663"/>
      <c r="I574" s="663"/>
      <c r="J574" s="663"/>
      <c r="K574" s="663"/>
      <c r="L574" s="663"/>
      <c r="M574" s="663"/>
      <c r="N574" s="663"/>
      <c r="O574" s="663"/>
      <c r="P574" s="663"/>
      <c r="Q574" s="663"/>
      <c r="R574" s="663"/>
      <c r="S574" s="663"/>
      <c r="T574" s="663"/>
      <c r="U574" s="663"/>
      <c r="V574" s="663"/>
      <c r="W574" s="663"/>
      <c r="X574" s="663"/>
      <c r="Y574" s="663"/>
      <c r="Z574" s="663"/>
      <c r="AA574" s="663"/>
      <c r="AB574" s="663"/>
      <c r="AC574" s="664"/>
      <c r="AD574" s="664"/>
      <c r="AE574" s="664"/>
      <c r="AF574" s="663"/>
      <c r="AG574" s="663"/>
      <c r="AH574" s="663"/>
      <c r="AI574" s="663"/>
      <c r="AJ574" s="663"/>
      <c r="AK574" s="663"/>
      <c r="AL574" s="663"/>
      <c r="AM574" s="665"/>
      <c r="AN574" s="595"/>
    </row>
    <row r="575" spans="1:45" s="549" customFormat="1" ht="12.75" customHeight="1">
      <c r="A575" s="539" t="s">
        <v>1549</v>
      </c>
      <c r="B575" s="539" t="s">
        <v>2566</v>
      </c>
      <c r="C575" s="538"/>
      <c r="D575" s="601"/>
      <c r="E575" s="601"/>
      <c r="F575" s="601"/>
      <c r="G575" s="601"/>
      <c r="H575" s="601"/>
      <c r="I575" s="601"/>
      <c r="J575" s="601"/>
      <c r="K575" s="601"/>
      <c r="L575" s="601"/>
      <c r="M575" s="601"/>
      <c r="N575" s="601"/>
      <c r="O575" s="601"/>
      <c r="P575" s="601"/>
      <c r="Q575" s="601"/>
      <c r="R575" s="601"/>
      <c r="S575" s="601"/>
      <c r="T575" s="601"/>
      <c r="U575" s="601"/>
      <c r="V575" s="601"/>
      <c r="W575" s="601"/>
      <c r="X575" s="601"/>
      <c r="Y575" s="601"/>
      <c r="Z575" s="601"/>
      <c r="AA575" s="601"/>
      <c r="AB575" s="601"/>
      <c r="AC575" s="601"/>
      <c r="AD575" s="601"/>
      <c r="AE575" s="2447" t="s">
        <v>1308</v>
      </c>
      <c r="AF575" s="2447"/>
      <c r="AG575" s="2447"/>
      <c r="AH575" s="2447"/>
      <c r="AI575" s="2447"/>
      <c r="AJ575" s="2447"/>
      <c r="AK575" s="2447"/>
      <c r="AL575" s="589"/>
      <c r="AM575" s="601"/>
      <c r="AN575" s="595"/>
    </row>
    <row r="576" spans="1:45" s="549" customFormat="1" ht="12.75" customHeight="1">
      <c r="C576" s="601"/>
      <c r="D576" s="601"/>
      <c r="E576" s="601"/>
      <c r="F576" s="601"/>
      <c r="G576" s="601"/>
      <c r="H576" s="601"/>
      <c r="I576" s="601"/>
      <c r="J576" s="601"/>
      <c r="K576" s="601"/>
      <c r="L576" s="601"/>
      <c r="M576" s="601"/>
      <c r="N576" s="601"/>
      <c r="O576" s="601"/>
      <c r="P576" s="601"/>
      <c r="Q576" s="601"/>
      <c r="R576" s="601"/>
      <c r="S576" s="601"/>
      <c r="T576" s="601"/>
      <c r="U576" s="601"/>
      <c r="V576" s="601"/>
      <c r="W576" s="601"/>
      <c r="X576" s="601"/>
      <c r="Y576" s="601"/>
      <c r="Z576" s="601"/>
      <c r="AA576" s="601"/>
      <c r="AB576" s="601"/>
      <c r="AC576" s="601"/>
      <c r="AD576" s="601"/>
      <c r="AE576" s="601"/>
      <c r="AF576" s="601"/>
      <c r="AG576" s="601"/>
      <c r="AH576" s="601"/>
      <c r="AI576" s="601"/>
      <c r="AJ576" s="601"/>
      <c r="AK576" s="601"/>
      <c r="AL576" s="601"/>
      <c r="AM576" s="601"/>
      <c r="AN576" s="595"/>
    </row>
    <row r="577" spans="1:42" s="549" customFormat="1" ht="12.75" customHeight="1">
      <c r="A577" s="601"/>
      <c r="B577" s="2387" t="s">
        <v>1984</v>
      </c>
      <c r="C577" s="2387"/>
      <c r="D577" s="2387"/>
      <c r="E577" s="2387"/>
      <c r="F577" s="2387"/>
      <c r="G577" s="2387"/>
      <c r="H577" s="2387"/>
      <c r="I577" s="2387"/>
      <c r="J577" s="2387"/>
      <c r="K577" s="2387"/>
      <c r="L577" s="2387"/>
      <c r="M577" s="2387"/>
      <c r="N577" s="2387"/>
      <c r="O577" s="2387"/>
      <c r="P577" s="2387"/>
      <c r="Q577" s="2387"/>
      <c r="R577" s="2387"/>
      <c r="S577" s="2387"/>
      <c r="T577" s="2387"/>
      <c r="U577" s="2387"/>
      <c r="V577" s="2387"/>
      <c r="W577" s="2387"/>
      <c r="X577" s="2387"/>
      <c r="Y577" s="2387"/>
      <c r="Z577" s="2387"/>
      <c r="AA577" s="2387"/>
      <c r="AB577" s="2387"/>
      <c r="AC577" s="2387"/>
      <c r="AD577" s="2387"/>
      <c r="AE577" s="2387"/>
      <c r="AF577" s="2387"/>
      <c r="AG577" s="2387"/>
      <c r="AH577" s="2387"/>
      <c r="AI577" s="2387"/>
      <c r="AJ577" s="2387"/>
      <c r="AK577" s="640"/>
      <c r="AL577" s="571"/>
      <c r="AM577" s="601"/>
      <c r="AN577" s="595"/>
    </row>
    <row r="578" spans="1:42" s="549" customFormat="1" ht="12.75" customHeight="1">
      <c r="A578" s="601"/>
      <c r="B578" s="2387"/>
      <c r="C578" s="2387"/>
      <c r="D578" s="2387"/>
      <c r="E578" s="2387"/>
      <c r="F578" s="2387"/>
      <c r="G578" s="2387"/>
      <c r="H578" s="2387"/>
      <c r="I578" s="2387"/>
      <c r="J578" s="2387"/>
      <c r="K578" s="2387"/>
      <c r="L578" s="2387"/>
      <c r="M578" s="2387"/>
      <c r="N578" s="2387"/>
      <c r="O578" s="2387"/>
      <c r="P578" s="2387"/>
      <c r="Q578" s="2387"/>
      <c r="R578" s="2387"/>
      <c r="S578" s="2387"/>
      <c r="T578" s="2387"/>
      <c r="U578" s="2387"/>
      <c r="V578" s="2387"/>
      <c r="W578" s="2387"/>
      <c r="X578" s="2387"/>
      <c r="Y578" s="2387"/>
      <c r="Z578" s="2387"/>
      <c r="AA578" s="2387"/>
      <c r="AB578" s="2387"/>
      <c r="AC578" s="2387"/>
      <c r="AD578" s="2387"/>
      <c r="AE578" s="2387"/>
      <c r="AF578" s="2387"/>
      <c r="AG578" s="2387"/>
      <c r="AH578" s="2387"/>
      <c r="AI578" s="2387"/>
      <c r="AJ578" s="2387"/>
      <c r="AK578" s="640"/>
      <c r="AL578" s="571"/>
      <c r="AM578" s="601"/>
      <c r="AN578" s="595"/>
    </row>
    <row r="579" spans="1:42" s="549" customFormat="1" ht="12.75" customHeight="1">
      <c r="A579" s="601"/>
      <c r="B579" s="2387"/>
      <c r="C579" s="2387"/>
      <c r="D579" s="2387"/>
      <c r="E579" s="2387"/>
      <c r="F579" s="2387"/>
      <c r="G579" s="2387"/>
      <c r="H579" s="2387"/>
      <c r="I579" s="2387"/>
      <c r="J579" s="2387"/>
      <c r="K579" s="2387"/>
      <c r="L579" s="2387"/>
      <c r="M579" s="2387"/>
      <c r="N579" s="2387"/>
      <c r="O579" s="2387"/>
      <c r="P579" s="2387"/>
      <c r="Q579" s="2387"/>
      <c r="R579" s="2387"/>
      <c r="S579" s="2387"/>
      <c r="T579" s="2387"/>
      <c r="U579" s="2387"/>
      <c r="V579" s="2387"/>
      <c r="W579" s="2387"/>
      <c r="X579" s="2387"/>
      <c r="Y579" s="2387"/>
      <c r="Z579" s="2387"/>
      <c r="AA579" s="2387"/>
      <c r="AB579" s="2387"/>
      <c r="AC579" s="2387"/>
      <c r="AD579" s="2387"/>
      <c r="AE579" s="2387"/>
      <c r="AF579" s="2387"/>
      <c r="AG579" s="2387"/>
      <c r="AH579" s="2387"/>
      <c r="AI579" s="2387"/>
      <c r="AJ579" s="2387"/>
      <c r="AK579" s="640"/>
      <c r="AL579" s="571"/>
      <c r="AM579" s="601"/>
      <c r="AN579" s="595"/>
    </row>
    <row r="580" spans="1:42" s="549" customFormat="1" ht="12.75" customHeight="1">
      <c r="A580" s="601"/>
      <c r="B580" s="2387"/>
      <c r="C580" s="2387"/>
      <c r="D580" s="2387"/>
      <c r="E580" s="2387"/>
      <c r="F580" s="2387"/>
      <c r="G580" s="2387"/>
      <c r="H580" s="2387"/>
      <c r="I580" s="2387"/>
      <c r="J580" s="2387"/>
      <c r="K580" s="2387"/>
      <c r="L580" s="2387"/>
      <c r="M580" s="2387"/>
      <c r="N580" s="2387"/>
      <c r="O580" s="2387"/>
      <c r="P580" s="2387"/>
      <c r="Q580" s="2387"/>
      <c r="R580" s="2387"/>
      <c r="S580" s="2387"/>
      <c r="T580" s="2387"/>
      <c r="U580" s="2387"/>
      <c r="V580" s="2387"/>
      <c r="W580" s="2387"/>
      <c r="X580" s="2387"/>
      <c r="Y580" s="2387"/>
      <c r="Z580" s="2387"/>
      <c r="AA580" s="2387"/>
      <c r="AB580" s="2387"/>
      <c r="AC580" s="2387"/>
      <c r="AD580" s="2387"/>
      <c r="AE580" s="2387"/>
      <c r="AF580" s="2387"/>
      <c r="AG580" s="2387"/>
      <c r="AH580" s="2387"/>
      <c r="AI580" s="2387"/>
      <c r="AJ580" s="2387"/>
      <c r="AK580" s="640"/>
      <c r="AL580" s="571"/>
      <c r="AM580" s="601"/>
      <c r="AN580" s="595"/>
    </row>
    <row r="581" spans="1:42" s="549" customFormat="1" ht="12.75" customHeight="1">
      <c r="A581" s="601"/>
      <c r="B581" s="2387"/>
      <c r="C581" s="2387"/>
      <c r="D581" s="2387"/>
      <c r="E581" s="2387"/>
      <c r="F581" s="2387"/>
      <c r="G581" s="2387"/>
      <c r="H581" s="2387"/>
      <c r="I581" s="2387"/>
      <c r="J581" s="2387"/>
      <c r="K581" s="2387"/>
      <c r="L581" s="2387"/>
      <c r="M581" s="2387"/>
      <c r="N581" s="2387"/>
      <c r="O581" s="2387"/>
      <c r="P581" s="2387"/>
      <c r="Q581" s="2387"/>
      <c r="R581" s="2387"/>
      <c r="S581" s="2387"/>
      <c r="T581" s="2387"/>
      <c r="U581" s="2387"/>
      <c r="V581" s="2387"/>
      <c r="W581" s="2387"/>
      <c r="X581" s="2387"/>
      <c r="Y581" s="2387"/>
      <c r="Z581" s="2387"/>
      <c r="AA581" s="2387"/>
      <c r="AB581" s="2387"/>
      <c r="AC581" s="2387"/>
      <c r="AD581" s="2387"/>
      <c r="AE581" s="2387"/>
      <c r="AF581" s="2387"/>
      <c r="AG581" s="2387"/>
      <c r="AH581" s="2387"/>
      <c r="AI581" s="2387"/>
      <c r="AJ581" s="2387"/>
      <c r="AK581" s="640"/>
      <c r="AL581" s="571"/>
      <c r="AM581" s="601"/>
      <c r="AN581" s="595"/>
    </row>
    <row r="582" spans="1:42" s="549" customFormat="1" ht="12.75" customHeight="1">
      <c r="A582" s="601"/>
      <c r="B582" s="2387"/>
      <c r="C582" s="2387"/>
      <c r="D582" s="2387"/>
      <c r="E582" s="2387"/>
      <c r="F582" s="2387"/>
      <c r="G582" s="2387"/>
      <c r="H582" s="2387"/>
      <c r="I582" s="2387"/>
      <c r="J582" s="2387"/>
      <c r="K582" s="2387"/>
      <c r="L582" s="2387"/>
      <c r="M582" s="2387"/>
      <c r="N582" s="2387"/>
      <c r="O582" s="2387"/>
      <c r="P582" s="2387"/>
      <c r="Q582" s="2387"/>
      <c r="R582" s="2387"/>
      <c r="S582" s="2387"/>
      <c r="T582" s="2387"/>
      <c r="U582" s="2387"/>
      <c r="V582" s="2387"/>
      <c r="W582" s="2387"/>
      <c r="X582" s="2387"/>
      <c r="Y582" s="2387"/>
      <c r="Z582" s="2387"/>
      <c r="AA582" s="2387"/>
      <c r="AB582" s="2387"/>
      <c r="AC582" s="2387"/>
      <c r="AD582" s="2387"/>
      <c r="AE582" s="2387"/>
      <c r="AF582" s="2387"/>
      <c r="AG582" s="2387"/>
      <c r="AH582" s="2387"/>
      <c r="AI582" s="2387"/>
      <c r="AJ582" s="2387"/>
      <c r="AK582" s="640"/>
      <c r="AL582" s="571"/>
      <c r="AM582" s="601"/>
      <c r="AN582" s="595"/>
    </row>
    <row r="583" spans="1:42" s="549" customFormat="1" ht="12.75" customHeight="1">
      <c r="A583" s="601"/>
      <c r="B583" s="2387"/>
      <c r="C583" s="2387"/>
      <c r="D583" s="2387"/>
      <c r="E583" s="2387"/>
      <c r="F583" s="2387"/>
      <c r="G583" s="2387"/>
      <c r="H583" s="2387"/>
      <c r="I583" s="2387"/>
      <c r="J583" s="2387"/>
      <c r="K583" s="2387"/>
      <c r="L583" s="2387"/>
      <c r="M583" s="2387"/>
      <c r="N583" s="2387"/>
      <c r="O583" s="2387"/>
      <c r="P583" s="2387"/>
      <c r="Q583" s="2387"/>
      <c r="R583" s="2387"/>
      <c r="S583" s="2387"/>
      <c r="T583" s="2387"/>
      <c r="U583" s="2387"/>
      <c r="V583" s="2387"/>
      <c r="W583" s="2387"/>
      <c r="X583" s="2387"/>
      <c r="Y583" s="2387"/>
      <c r="Z583" s="2387"/>
      <c r="AA583" s="2387"/>
      <c r="AB583" s="2387"/>
      <c r="AC583" s="2387"/>
      <c r="AD583" s="2387"/>
      <c r="AE583" s="2387"/>
      <c r="AF583" s="2387"/>
      <c r="AG583" s="2387"/>
      <c r="AH583" s="2387"/>
      <c r="AI583" s="2387"/>
      <c r="AJ583" s="2387"/>
      <c r="AK583" s="640"/>
      <c r="AL583" s="571"/>
      <c r="AM583" s="601"/>
      <c r="AN583" s="595"/>
    </row>
    <row r="584" spans="1:42" ht="12.75" customHeight="1">
      <c r="A584" s="601"/>
      <c r="B584" s="2387"/>
      <c r="C584" s="2387"/>
      <c r="D584" s="2387"/>
      <c r="E584" s="2387"/>
      <c r="F584" s="2387"/>
      <c r="G584" s="2387"/>
      <c r="H584" s="2387"/>
      <c r="I584" s="2387"/>
      <c r="J584" s="2387"/>
      <c r="K584" s="2387"/>
      <c r="L584" s="2387"/>
      <c r="M584" s="2387"/>
      <c r="N584" s="2387"/>
      <c r="O584" s="2387"/>
      <c r="P584" s="2387"/>
      <c r="Q584" s="2387"/>
      <c r="R584" s="2387"/>
      <c r="S584" s="2387"/>
      <c r="T584" s="2387"/>
      <c r="U584" s="2387"/>
      <c r="V584" s="2387"/>
      <c r="W584" s="2387"/>
      <c r="X584" s="2387"/>
      <c r="Y584" s="2387"/>
      <c r="Z584" s="2387"/>
      <c r="AA584" s="2387"/>
      <c r="AB584" s="2387"/>
      <c r="AC584" s="2387"/>
      <c r="AD584" s="2387"/>
      <c r="AE584" s="2387"/>
      <c r="AF584" s="2387"/>
      <c r="AG584" s="2387"/>
      <c r="AH584" s="2387"/>
      <c r="AI584" s="2387"/>
      <c r="AJ584" s="2387"/>
      <c r="AK584" s="640"/>
      <c r="AL584" s="571"/>
      <c r="AM584" s="601"/>
    </row>
    <row r="585" spans="1:42" s="549" customFormat="1" ht="12.75" customHeight="1">
      <c r="B585" s="2387"/>
      <c r="C585" s="2387"/>
      <c r="D585" s="2387"/>
      <c r="E585" s="2387"/>
      <c r="F585" s="2387"/>
      <c r="G585" s="2387"/>
      <c r="H585" s="2387"/>
      <c r="I585" s="2387"/>
      <c r="J585" s="2387"/>
      <c r="K585" s="2387"/>
      <c r="L585" s="2387"/>
      <c r="M585" s="2387"/>
      <c r="N585" s="2387"/>
      <c r="O585" s="2387"/>
      <c r="P585" s="2387"/>
      <c r="Q585" s="2387"/>
      <c r="R585" s="2387"/>
      <c r="S585" s="2387"/>
      <c r="T585" s="2387"/>
      <c r="U585" s="2387"/>
      <c r="V585" s="2387"/>
      <c r="W585" s="2387"/>
      <c r="X585" s="2387"/>
      <c r="Y585" s="2387"/>
      <c r="Z585" s="2387"/>
      <c r="AA585" s="2387"/>
      <c r="AB585" s="2387"/>
      <c r="AC585" s="2387"/>
      <c r="AD585" s="2387"/>
      <c r="AE585" s="2387"/>
      <c r="AF585" s="2387"/>
      <c r="AG585" s="2387"/>
      <c r="AH585" s="2387"/>
      <c r="AI585" s="2387"/>
      <c r="AJ585" s="2387"/>
      <c r="AK585" s="640"/>
      <c r="AL585" s="571"/>
      <c r="AN585" s="595"/>
    </row>
    <row r="586" spans="1:42" s="549" customFormat="1" ht="12.75" customHeight="1">
      <c r="B586" s="640"/>
      <c r="C586" s="640"/>
      <c r="D586" s="640"/>
      <c r="E586" s="640"/>
      <c r="F586" s="640"/>
      <c r="G586" s="640"/>
      <c r="H586" s="640"/>
      <c r="I586" s="640"/>
      <c r="J586" s="640"/>
      <c r="K586" s="640"/>
      <c r="L586" s="640"/>
      <c r="M586" s="640"/>
      <c r="N586" s="640"/>
      <c r="O586" s="640"/>
      <c r="P586" s="640"/>
      <c r="Q586" s="640"/>
      <c r="R586" s="640"/>
      <c r="S586" s="640"/>
      <c r="T586" s="640"/>
      <c r="U586" s="640"/>
      <c r="V586" s="640"/>
      <c r="W586" s="640"/>
      <c r="X586" s="640"/>
      <c r="Y586" s="640"/>
      <c r="Z586" s="640"/>
      <c r="AA586" s="640"/>
      <c r="AB586" s="640"/>
      <c r="AC586" s="640"/>
      <c r="AD586" s="640"/>
      <c r="AE586" s="640"/>
      <c r="AF586" s="640"/>
      <c r="AG586" s="640"/>
      <c r="AH586" s="640"/>
      <c r="AI586" s="640"/>
      <c r="AJ586" s="640"/>
      <c r="AK586" s="640"/>
      <c r="AL586" s="571"/>
      <c r="AN586" s="595"/>
    </row>
    <row r="587" spans="1:42" s="549" customFormat="1" ht="12.75" customHeight="1">
      <c r="B587" s="659" t="s">
        <v>1386</v>
      </c>
      <c r="C587" s="667"/>
      <c r="D587" s="571"/>
      <c r="E587" s="571"/>
      <c r="F587" s="571"/>
      <c r="G587" s="571"/>
      <c r="H587" s="571"/>
      <c r="I587" s="571"/>
      <c r="J587" s="571"/>
      <c r="K587" s="571"/>
      <c r="L587" s="571"/>
      <c r="M587" s="571"/>
      <c r="N587" s="571"/>
      <c r="O587" s="571"/>
      <c r="P587" s="571"/>
      <c r="Q587" s="571"/>
      <c r="R587" s="571"/>
      <c r="S587" s="571"/>
      <c r="T587" s="571"/>
      <c r="U587" s="571"/>
      <c r="V587" s="571"/>
      <c r="W587" s="571"/>
      <c r="X587" s="571"/>
      <c r="Y587" s="571"/>
      <c r="Z587" s="571"/>
      <c r="AA587" s="571"/>
      <c r="AB587" s="571"/>
      <c r="AC587" s="571"/>
      <c r="AD587" s="571"/>
      <c r="AE587" s="571"/>
      <c r="AF587" s="571"/>
      <c r="AG587" s="571"/>
      <c r="AH587" s="571"/>
      <c r="AI587" s="571"/>
      <c r="AN587" s="595"/>
      <c r="AP587" s="549" t="s">
        <v>591</v>
      </c>
    </row>
    <row r="588" spans="1:42" s="549" customFormat="1" ht="12.75" customHeight="1">
      <c r="B588" s="536"/>
      <c r="C588" s="667"/>
      <c r="D588" s="571"/>
      <c r="E588" s="571"/>
      <c r="F588" s="571"/>
      <c r="G588" s="571"/>
      <c r="H588" s="571"/>
      <c r="I588" s="571"/>
      <c r="J588" s="571"/>
      <c r="K588" s="571"/>
      <c r="L588" s="571"/>
      <c r="M588" s="571"/>
      <c r="N588" s="571"/>
      <c r="O588" s="571"/>
      <c r="P588" s="571"/>
      <c r="Q588" s="571"/>
      <c r="R588" s="571"/>
      <c r="S588" s="571"/>
      <c r="T588" s="571"/>
      <c r="U588" s="571"/>
      <c r="V588" s="571"/>
      <c r="W588" s="571"/>
      <c r="X588" s="571"/>
      <c r="Y588" s="571"/>
      <c r="Z588" s="571"/>
      <c r="AA588" s="571"/>
      <c r="AB588" s="571"/>
      <c r="AC588" s="571"/>
      <c r="AD588" s="571"/>
      <c r="AE588" s="571"/>
      <c r="AF588" s="571"/>
      <c r="AG588" s="571"/>
      <c r="AH588" s="571"/>
      <c r="AI588" s="571"/>
      <c r="AN588" s="595"/>
      <c r="AP588" s="549" t="s">
        <v>545</v>
      </c>
    </row>
    <row r="589" spans="1:42" s="549" customFormat="1" ht="12.75" customHeight="1">
      <c r="C589" s="539" t="s">
        <v>1387</v>
      </c>
      <c r="D589" s="668"/>
      <c r="E589" s="571"/>
      <c r="F589" s="571"/>
      <c r="G589" s="571"/>
      <c r="H589" s="571"/>
      <c r="I589" s="571"/>
      <c r="J589" s="571"/>
      <c r="K589" s="571"/>
      <c r="L589" s="571"/>
      <c r="M589" s="571"/>
      <c r="N589" s="571"/>
      <c r="O589" s="571"/>
      <c r="P589" s="571"/>
      <c r="Q589" s="571"/>
      <c r="R589" s="571"/>
      <c r="S589" s="571"/>
      <c r="T589" s="571"/>
      <c r="U589" s="571"/>
      <c r="V589" s="571"/>
      <c r="W589" s="571"/>
      <c r="X589" s="571"/>
      <c r="Y589" s="571"/>
      <c r="Z589" s="571"/>
      <c r="AA589" s="571"/>
      <c r="AB589" s="571"/>
      <c r="AC589" s="571"/>
      <c r="AD589" s="571"/>
      <c r="AE589" s="571"/>
      <c r="AF589" s="571"/>
      <c r="AG589" s="571"/>
      <c r="AH589" s="571"/>
      <c r="AI589" s="571"/>
      <c r="AN589" s="595"/>
    </row>
    <row r="590" spans="1:42" s="549" customFormat="1" ht="12.75" customHeight="1">
      <c r="B590" s="536"/>
      <c r="C590" s="536"/>
      <c r="D590" s="638"/>
      <c r="E590" s="641"/>
      <c r="F590" s="641"/>
      <c r="G590" s="641"/>
      <c r="H590" s="641"/>
      <c r="I590" s="641"/>
      <c r="J590" s="641"/>
      <c r="K590" s="641"/>
      <c r="L590" s="641"/>
      <c r="M590" s="641"/>
      <c r="N590" s="641"/>
      <c r="O590" s="641"/>
      <c r="P590" s="641"/>
      <c r="Q590" s="641"/>
      <c r="R590" s="641"/>
      <c r="S590" s="641"/>
      <c r="T590" s="641"/>
      <c r="U590" s="641"/>
      <c r="V590" s="641"/>
      <c r="W590" s="641"/>
      <c r="X590" s="641"/>
      <c r="Y590" s="641"/>
      <c r="Z590" s="641"/>
      <c r="AA590" s="641"/>
      <c r="AB590" s="641"/>
      <c r="AC590" s="641"/>
      <c r="AD590" s="641"/>
      <c r="AE590" s="641"/>
      <c r="AF590" s="536"/>
      <c r="AG590" s="536"/>
      <c r="AH590" s="536"/>
      <c r="AI590" s="536"/>
      <c r="AJ590" s="536"/>
      <c r="AK590" s="536"/>
      <c r="AL590" s="536"/>
      <c r="AN590" s="595"/>
    </row>
    <row r="591" spans="1:42" s="549" customFormat="1" ht="12.75" customHeight="1">
      <c r="B591" s="536"/>
      <c r="C591" s="536"/>
      <c r="D591" s="659" t="s">
        <v>687</v>
      </c>
      <c r="E591" s="834" t="s">
        <v>1687</v>
      </c>
      <c r="F591" s="640"/>
      <c r="G591" s="640"/>
      <c r="H591" s="640"/>
      <c r="I591" s="640"/>
      <c r="J591" s="640"/>
      <c r="K591" s="640"/>
      <c r="L591" s="640"/>
      <c r="M591" s="640"/>
      <c r="N591" s="640"/>
      <c r="O591" s="640"/>
      <c r="P591" s="640"/>
      <c r="Q591" s="640"/>
      <c r="R591" s="640"/>
      <c r="S591" s="640"/>
      <c r="T591" s="640"/>
      <c r="U591" s="640"/>
      <c r="V591" s="640"/>
      <c r="W591" s="640"/>
      <c r="X591" s="640"/>
      <c r="Y591" s="640"/>
      <c r="Z591" s="640"/>
      <c r="AA591" s="640"/>
      <c r="AB591" s="640"/>
      <c r="AC591" s="536"/>
      <c r="AD591" s="536"/>
      <c r="AE591" s="536"/>
      <c r="AF591" s="2388" t="s">
        <v>1332</v>
      </c>
      <c r="AG591" s="2388"/>
      <c r="AH591" s="2388"/>
      <c r="AI591" s="2388"/>
      <c r="AJ591" s="2388"/>
      <c r="AK591" s="2388"/>
      <c r="AL591" s="2388"/>
      <c r="AN591" s="595"/>
    </row>
    <row r="592" spans="1:42" s="549" customFormat="1" ht="12.75" customHeight="1">
      <c r="B592" s="536"/>
      <c r="C592" s="614"/>
      <c r="D592" s="659"/>
      <c r="E592" s="834" t="s">
        <v>1688</v>
      </c>
      <c r="F592" s="640"/>
      <c r="G592" s="640"/>
      <c r="H592" s="640"/>
      <c r="I592" s="640"/>
      <c r="J592" s="640"/>
      <c r="K592" s="640"/>
      <c r="L592" s="640"/>
      <c r="M592" s="640"/>
      <c r="N592" s="640"/>
      <c r="O592" s="640"/>
      <c r="P592" s="640"/>
      <c r="Q592" s="640"/>
      <c r="R592" s="640"/>
      <c r="S592" s="640"/>
      <c r="T592" s="640"/>
      <c r="U592" s="640"/>
      <c r="V592" s="640"/>
      <c r="W592" s="640"/>
      <c r="X592" s="640"/>
      <c r="Y592" s="640"/>
      <c r="Z592" s="640"/>
      <c r="AA592" s="640"/>
      <c r="AB592" s="640"/>
      <c r="AC592" s="536"/>
      <c r="AD592" s="536"/>
      <c r="AE592" s="614"/>
      <c r="AF592" s="614"/>
      <c r="AG592" s="614"/>
      <c r="AH592" s="614"/>
      <c r="AI592" s="614"/>
      <c r="AJ592" s="614"/>
      <c r="AK592" s="614"/>
      <c r="AL592" s="614"/>
      <c r="AN592" s="595"/>
    </row>
    <row r="593" spans="1:42" s="549" customFormat="1" ht="12.75" customHeight="1">
      <c r="B593" s="536"/>
      <c r="C593" s="614"/>
      <c r="D593" s="659"/>
      <c r="E593" s="834" t="s">
        <v>1689</v>
      </c>
      <c r="F593" s="640"/>
      <c r="G593" s="640"/>
      <c r="H593" s="640"/>
      <c r="I593" s="640"/>
      <c r="J593" s="640"/>
      <c r="K593" s="640"/>
      <c r="L593" s="640"/>
      <c r="M593" s="640"/>
      <c r="N593" s="640"/>
      <c r="O593" s="640"/>
      <c r="P593" s="640"/>
      <c r="Q593" s="640"/>
      <c r="R593" s="640"/>
      <c r="S593" s="640"/>
      <c r="T593" s="640"/>
      <c r="U593" s="640"/>
      <c r="V593" s="640"/>
      <c r="W593" s="640"/>
      <c r="X593" s="640"/>
      <c r="Y593" s="640"/>
      <c r="Z593" s="640"/>
      <c r="AA593" s="640"/>
      <c r="AB593" s="640"/>
      <c r="AC593" s="536"/>
      <c r="AD593" s="536"/>
      <c r="AE593" s="614"/>
      <c r="AF593" s="614"/>
      <c r="AG593" s="614"/>
      <c r="AH593" s="614"/>
      <c r="AI593" s="614"/>
      <c r="AJ593" s="614"/>
      <c r="AK593" s="614"/>
      <c r="AL593" s="614"/>
      <c r="AN593" s="595"/>
    </row>
    <row r="594" spans="1:42" s="549" customFormat="1" ht="12.75" customHeight="1">
      <c r="B594" s="536"/>
      <c r="C594" s="614"/>
      <c r="D594" s="659"/>
      <c r="E594" s="834" t="s">
        <v>1690</v>
      </c>
      <c r="F594" s="640"/>
      <c r="G594" s="640"/>
      <c r="H594" s="640"/>
      <c r="I594" s="640"/>
      <c r="J594" s="640"/>
      <c r="K594" s="640"/>
      <c r="L594" s="640"/>
      <c r="M594" s="640"/>
      <c r="N594" s="640"/>
      <c r="O594" s="640"/>
      <c r="P594" s="640"/>
      <c r="Q594" s="640"/>
      <c r="R594" s="640"/>
      <c r="S594" s="640"/>
      <c r="T594" s="640"/>
      <c r="U594" s="640"/>
      <c r="V594" s="640"/>
      <c r="W594" s="640"/>
      <c r="X594" s="640"/>
      <c r="Y594" s="640"/>
      <c r="Z594" s="640"/>
      <c r="AA594" s="640"/>
      <c r="AB594" s="640"/>
      <c r="AC594" s="536"/>
      <c r="AD594" s="536"/>
      <c r="AE594" s="614"/>
      <c r="AF594" s="614"/>
      <c r="AG594" s="614"/>
      <c r="AH594" s="614"/>
      <c r="AI594" s="614"/>
      <c r="AJ594" s="614"/>
      <c r="AK594" s="614"/>
      <c r="AL594" s="614"/>
      <c r="AN594" s="595"/>
    </row>
    <row r="595" spans="1:42" s="549" customFormat="1" ht="12.75" customHeight="1">
      <c r="B595" s="536"/>
      <c r="C595" s="614"/>
      <c r="D595" s="659"/>
      <c r="E595" s="834" t="s">
        <v>1691</v>
      </c>
      <c r="F595" s="640"/>
      <c r="G595" s="640"/>
      <c r="H595" s="640"/>
      <c r="I595" s="640"/>
      <c r="J595" s="640"/>
      <c r="K595" s="640"/>
      <c r="L595" s="640"/>
      <c r="M595" s="640"/>
      <c r="N595" s="640"/>
      <c r="O595" s="640"/>
      <c r="P595" s="640"/>
      <c r="Q595" s="640"/>
      <c r="R595" s="640"/>
      <c r="S595" s="640"/>
      <c r="T595" s="640"/>
      <c r="U595" s="640"/>
      <c r="V595" s="640"/>
      <c r="W595" s="640"/>
      <c r="X595" s="640"/>
      <c r="Y595" s="640"/>
      <c r="Z595" s="640"/>
      <c r="AA595" s="640"/>
      <c r="AB595" s="640"/>
      <c r="AC595" s="536"/>
      <c r="AD595" s="536"/>
      <c r="AE595" s="614"/>
      <c r="AF595" s="614"/>
      <c r="AG595" s="614"/>
      <c r="AH595" s="614"/>
      <c r="AI595" s="614"/>
      <c r="AJ595" s="614"/>
      <c r="AK595" s="614"/>
      <c r="AL595" s="614"/>
      <c r="AN595" s="595"/>
      <c r="AO595" s="22" t="s">
        <v>2128</v>
      </c>
      <c r="AP595" s="549" t="b">
        <f>IF(Application!AF427&gt;=25,TRUE,FALSE)</f>
        <v>1</v>
      </c>
    </row>
    <row r="596" spans="1:42" s="549" customFormat="1" ht="12.75" customHeight="1">
      <c r="B596" s="536"/>
      <c r="C596" s="614"/>
      <c r="D596" s="659"/>
      <c r="E596" s="834" t="s">
        <v>1692</v>
      </c>
      <c r="F596" s="640"/>
      <c r="G596" s="640"/>
      <c r="H596" s="640"/>
      <c r="I596" s="640"/>
      <c r="J596" s="640"/>
      <c r="K596" s="640"/>
      <c r="L596" s="640"/>
      <c r="M596" s="640"/>
      <c r="N596" s="640"/>
      <c r="O596" s="640"/>
      <c r="P596" s="640"/>
      <c r="Q596" s="640"/>
      <c r="R596" s="640"/>
      <c r="S596" s="640"/>
      <c r="T596" s="640"/>
      <c r="U596" s="640"/>
      <c r="V596" s="640"/>
      <c r="W596" s="640"/>
      <c r="X596" s="640"/>
      <c r="Y596" s="640"/>
      <c r="Z596" s="640"/>
      <c r="AA596" s="640"/>
      <c r="AB596" s="640"/>
      <c r="AC596" s="536"/>
      <c r="AD596" s="536"/>
      <c r="AE596" s="614"/>
      <c r="AF596" s="614"/>
      <c r="AG596" s="614"/>
      <c r="AH596" s="614"/>
      <c r="AI596" s="614"/>
      <c r="AJ596" s="614"/>
      <c r="AK596" s="614"/>
      <c r="AL596" s="614"/>
      <c r="AN596" s="595"/>
      <c r="AO596" s="22" t="s">
        <v>2129</v>
      </c>
      <c r="AP596" s="549" t="b">
        <f>Application!T199="Yes"</f>
        <v>0</v>
      </c>
    </row>
    <row r="597" spans="1:42" s="549" customFormat="1" ht="12.75" customHeight="1">
      <c r="B597" s="536"/>
      <c r="C597" s="614"/>
      <c r="D597" s="659"/>
      <c r="E597" s="834"/>
      <c r="F597" s="640"/>
      <c r="G597" s="640"/>
      <c r="H597" s="640"/>
      <c r="I597" s="640"/>
      <c r="J597" s="640"/>
      <c r="K597" s="640"/>
      <c r="L597" s="640"/>
      <c r="M597" s="640"/>
      <c r="N597" s="640"/>
      <c r="O597" s="640"/>
      <c r="P597" s="640"/>
      <c r="Q597" s="640"/>
      <c r="R597" s="640"/>
      <c r="S597" s="640"/>
      <c r="T597" s="640"/>
      <c r="U597" s="640"/>
      <c r="V597" s="640"/>
      <c r="W597" s="640"/>
      <c r="X597" s="640"/>
      <c r="Y597" s="640"/>
      <c r="Z597" s="640"/>
      <c r="AA597" s="640"/>
      <c r="AB597" s="640"/>
      <c r="AC597" s="536"/>
      <c r="AD597" s="536"/>
      <c r="AE597" s="614"/>
      <c r="AF597" s="536"/>
      <c r="AG597" s="536"/>
      <c r="AH597" s="536"/>
      <c r="AI597" s="536"/>
      <c r="AJ597" s="536"/>
      <c r="AK597" s="536"/>
      <c r="AL597" s="536"/>
      <c r="AN597" s="595"/>
    </row>
    <row r="598" spans="1:42" s="549" customFormat="1" ht="12.75" customHeight="1">
      <c r="A598" s="635"/>
      <c r="B598" s="536"/>
      <c r="C598" s="927"/>
      <c r="D598" s="659" t="s">
        <v>509</v>
      </c>
      <c r="E598" s="834" t="s">
        <v>1693</v>
      </c>
      <c r="F598" s="928"/>
      <c r="G598" s="928"/>
      <c r="H598" s="928"/>
      <c r="I598" s="928"/>
      <c r="J598" s="928"/>
      <c r="K598" s="928"/>
      <c r="L598" s="928"/>
      <c r="M598" s="928"/>
      <c r="N598" s="928"/>
      <c r="O598" s="928"/>
      <c r="P598" s="928"/>
      <c r="Q598" s="928"/>
      <c r="R598" s="928"/>
      <c r="S598" s="928"/>
      <c r="T598" s="928"/>
      <c r="U598" s="928"/>
      <c r="V598" s="928"/>
      <c r="W598" s="928"/>
      <c r="X598" s="928"/>
      <c r="Y598" s="928"/>
      <c r="Z598" s="928"/>
      <c r="AA598" s="928"/>
      <c r="AB598" s="928"/>
      <c r="AC598" s="536"/>
      <c r="AD598" s="536"/>
      <c r="AE598" s="536"/>
      <c r="AF598" s="2388" t="s">
        <v>1388</v>
      </c>
      <c r="AG598" s="2388"/>
      <c r="AH598" s="2388"/>
      <c r="AI598" s="2388"/>
      <c r="AJ598" s="2388"/>
      <c r="AK598" s="2388"/>
      <c r="AL598" s="2388"/>
      <c r="AN598" s="595"/>
    </row>
    <row r="599" spans="1:42" s="549" customFormat="1" ht="12.75" customHeight="1">
      <c r="B599" s="536"/>
      <c r="C599" s="929"/>
      <c r="D599" s="659"/>
      <c r="E599" s="834" t="s">
        <v>1694</v>
      </c>
      <c r="F599" s="928"/>
      <c r="G599" s="928"/>
      <c r="H599" s="928"/>
      <c r="I599" s="928"/>
      <c r="J599" s="928"/>
      <c r="K599" s="928"/>
      <c r="L599" s="928"/>
      <c r="M599" s="928"/>
      <c r="N599" s="928"/>
      <c r="O599" s="928"/>
      <c r="P599" s="928"/>
      <c r="Q599" s="928"/>
      <c r="R599" s="928"/>
      <c r="S599" s="928"/>
      <c r="T599" s="928"/>
      <c r="U599" s="928"/>
      <c r="V599" s="928"/>
      <c r="W599" s="928"/>
      <c r="X599" s="928"/>
      <c r="Y599" s="928"/>
      <c r="Z599" s="928"/>
      <c r="AA599" s="928"/>
      <c r="AB599" s="928"/>
      <c r="AC599" s="536"/>
      <c r="AD599" s="536"/>
      <c r="AE599" s="536"/>
      <c r="AF599" s="536"/>
      <c r="AG599" s="536"/>
      <c r="AH599" s="536"/>
      <c r="AI599" s="536"/>
      <c r="AJ599" s="536"/>
      <c r="AK599" s="536"/>
      <c r="AL599" s="536"/>
      <c r="AN599" s="595"/>
      <c r="AO599" s="549" t="s">
        <v>591</v>
      </c>
      <c r="AP599" s="669">
        <v>0</v>
      </c>
    </row>
    <row r="600" spans="1:42" s="549" customFormat="1" ht="12.75" customHeight="1">
      <c r="B600" s="608"/>
      <c r="C600" s="927"/>
      <c r="D600" s="659"/>
      <c r="E600" s="834" t="s">
        <v>1695</v>
      </c>
      <c r="F600" s="928"/>
      <c r="G600" s="928"/>
      <c r="H600" s="928"/>
      <c r="I600" s="928"/>
      <c r="J600" s="928"/>
      <c r="K600" s="928"/>
      <c r="L600" s="928"/>
      <c r="M600" s="928"/>
      <c r="N600" s="928"/>
      <c r="O600" s="928"/>
      <c r="P600" s="928"/>
      <c r="Q600" s="928"/>
      <c r="R600" s="928"/>
      <c r="S600" s="928"/>
      <c r="T600" s="928"/>
      <c r="U600" s="928"/>
      <c r="V600" s="928"/>
      <c r="W600" s="928"/>
      <c r="X600" s="928"/>
      <c r="Y600" s="928"/>
      <c r="Z600" s="928"/>
      <c r="AA600" s="928"/>
      <c r="AB600" s="928"/>
      <c r="AC600" s="536"/>
      <c r="AD600" s="536"/>
      <c r="AE600" s="536"/>
      <c r="AF600" s="536"/>
      <c r="AG600" s="536"/>
      <c r="AH600" s="536"/>
      <c r="AI600" s="536"/>
      <c r="AJ600" s="536"/>
      <c r="AK600" s="536"/>
      <c r="AL600" s="536"/>
      <c r="AN600" s="595"/>
      <c r="AO600" s="609" t="s">
        <v>687</v>
      </c>
      <c r="AP600" s="549">
        <f>7*AP595</f>
        <v>7</v>
      </c>
    </row>
    <row r="601" spans="1:42" s="549" customFormat="1" ht="12.75" customHeight="1">
      <c r="B601" s="608"/>
      <c r="C601" s="927"/>
      <c r="D601" s="659"/>
      <c r="E601" s="834" t="s">
        <v>1697</v>
      </c>
      <c r="F601" s="928"/>
      <c r="G601" s="928"/>
      <c r="H601" s="928"/>
      <c r="I601" s="928"/>
      <c r="J601" s="928"/>
      <c r="K601" s="928"/>
      <c r="L601" s="928"/>
      <c r="M601" s="928"/>
      <c r="N601" s="928"/>
      <c r="O601" s="928"/>
      <c r="P601" s="928"/>
      <c r="Q601" s="928"/>
      <c r="R601" s="928"/>
      <c r="S601" s="928"/>
      <c r="T601" s="928"/>
      <c r="U601" s="928"/>
      <c r="V601" s="928"/>
      <c r="W601" s="928"/>
      <c r="X601" s="928"/>
      <c r="Y601" s="928"/>
      <c r="Z601" s="928"/>
      <c r="AA601" s="928"/>
      <c r="AB601" s="928"/>
      <c r="AC601" s="536"/>
      <c r="AD601" s="536"/>
      <c r="AE601" s="536"/>
      <c r="AF601" s="536"/>
      <c r="AG601" s="536"/>
      <c r="AH601" s="536"/>
      <c r="AI601" s="536"/>
      <c r="AJ601" s="536"/>
      <c r="AK601" s="536"/>
      <c r="AL601" s="536"/>
      <c r="AN601" s="595"/>
      <c r="AO601" s="609" t="s">
        <v>509</v>
      </c>
      <c r="AP601" s="549">
        <v>6</v>
      </c>
    </row>
    <row r="602" spans="1:42" s="549" customFormat="1" ht="12.75" customHeight="1">
      <c r="B602" s="608"/>
      <c r="C602" s="927"/>
      <c r="D602" s="659"/>
      <c r="E602" s="834" t="s">
        <v>1696</v>
      </c>
      <c r="F602" s="928"/>
      <c r="G602" s="928"/>
      <c r="H602" s="928"/>
      <c r="I602" s="928"/>
      <c r="J602" s="928"/>
      <c r="K602" s="928"/>
      <c r="L602" s="928"/>
      <c r="M602" s="928"/>
      <c r="N602" s="928"/>
      <c r="O602" s="928"/>
      <c r="P602" s="928"/>
      <c r="Q602" s="928"/>
      <c r="R602" s="928"/>
      <c r="S602" s="928"/>
      <c r="T602" s="928"/>
      <c r="U602" s="928"/>
      <c r="V602" s="928"/>
      <c r="W602" s="928"/>
      <c r="X602" s="928"/>
      <c r="Y602" s="928"/>
      <c r="Z602" s="928"/>
      <c r="AA602" s="928"/>
      <c r="AB602" s="928"/>
      <c r="AC602" s="536"/>
      <c r="AD602" s="536"/>
      <c r="AE602" s="536"/>
      <c r="AF602" s="536"/>
      <c r="AG602" s="536"/>
      <c r="AH602" s="536"/>
      <c r="AI602" s="536"/>
      <c r="AJ602" s="536"/>
      <c r="AK602" s="536"/>
      <c r="AL602" s="536"/>
      <c r="AN602" s="595"/>
      <c r="AO602" s="609" t="s">
        <v>278</v>
      </c>
      <c r="AP602" s="549">
        <v>5</v>
      </c>
    </row>
    <row r="603" spans="1:42" s="549" customFormat="1" ht="12.75" customHeight="1">
      <c r="B603" s="608"/>
      <c r="C603" s="927"/>
      <c r="D603" s="659"/>
      <c r="E603" s="930"/>
      <c r="F603" s="931"/>
      <c r="G603" s="931"/>
      <c r="H603" s="931"/>
      <c r="I603" s="614"/>
      <c r="J603" s="614"/>
      <c r="K603" s="614"/>
      <c r="L603" s="614"/>
      <c r="M603" s="614"/>
      <c r="N603" s="614"/>
      <c r="O603" s="614"/>
      <c r="P603" s="614"/>
      <c r="Q603" s="614"/>
      <c r="R603" s="614"/>
      <c r="S603" s="614"/>
      <c r="T603" s="614"/>
      <c r="U603" s="614"/>
      <c r="V603" s="614"/>
      <c r="W603" s="614"/>
      <c r="X603" s="614"/>
      <c r="Y603" s="614"/>
      <c r="Z603" s="614"/>
      <c r="AA603" s="614"/>
      <c r="AB603" s="614"/>
      <c r="AC603" s="536"/>
      <c r="AD603" s="536"/>
      <c r="AE603" s="614"/>
      <c r="AF603" s="536"/>
      <c r="AG603" s="536"/>
      <c r="AH603" s="536"/>
      <c r="AI603" s="536"/>
      <c r="AJ603" s="536"/>
      <c r="AK603" s="536"/>
      <c r="AL603" s="536"/>
      <c r="AN603" s="595"/>
      <c r="AO603" s="609" t="s">
        <v>1389</v>
      </c>
      <c r="AP603" s="549">
        <v>4</v>
      </c>
    </row>
    <row r="604" spans="1:42" s="549" customFormat="1" ht="12.75" customHeight="1">
      <c r="B604" s="536"/>
      <c r="C604" s="927"/>
      <c r="D604" s="659" t="s">
        <v>278</v>
      </c>
      <c r="E604" s="834" t="s">
        <v>1698</v>
      </c>
      <c r="F604" s="928"/>
      <c r="G604" s="928"/>
      <c r="H604" s="928"/>
      <c r="I604" s="928"/>
      <c r="J604" s="928"/>
      <c r="K604" s="928"/>
      <c r="L604" s="928"/>
      <c r="M604" s="928"/>
      <c r="N604" s="928"/>
      <c r="O604" s="928"/>
      <c r="P604" s="928"/>
      <c r="Q604" s="928"/>
      <c r="R604" s="928"/>
      <c r="S604" s="928"/>
      <c r="T604" s="928"/>
      <c r="U604" s="928"/>
      <c r="V604" s="928"/>
      <c r="W604" s="928"/>
      <c r="X604" s="928"/>
      <c r="Y604" s="928"/>
      <c r="Z604" s="928"/>
      <c r="AA604" s="928"/>
      <c r="AB604" s="928"/>
      <c r="AC604" s="536"/>
      <c r="AD604" s="536"/>
      <c r="AE604" s="536"/>
      <c r="AF604" s="2388" t="s">
        <v>1371</v>
      </c>
      <c r="AG604" s="2388"/>
      <c r="AH604" s="2388"/>
      <c r="AI604" s="2388"/>
      <c r="AJ604" s="2388"/>
      <c r="AK604" s="2388"/>
      <c r="AL604" s="2388"/>
      <c r="AN604" s="595"/>
      <c r="AO604" s="609" t="s">
        <v>1390</v>
      </c>
      <c r="AP604" s="549">
        <v>3</v>
      </c>
    </row>
    <row r="605" spans="1:42" s="549" customFormat="1" ht="12.75" customHeight="1">
      <c r="B605" s="536"/>
      <c r="C605" s="929"/>
      <c r="D605" s="659"/>
      <c r="E605" s="834" t="s">
        <v>1694</v>
      </c>
      <c r="F605" s="928"/>
      <c r="G605" s="928"/>
      <c r="H605" s="928"/>
      <c r="I605" s="928"/>
      <c r="J605" s="928"/>
      <c r="K605" s="928"/>
      <c r="L605" s="928"/>
      <c r="M605" s="928"/>
      <c r="N605" s="928"/>
      <c r="O605" s="928"/>
      <c r="P605" s="928"/>
      <c r="Q605" s="928"/>
      <c r="R605" s="928"/>
      <c r="S605" s="928"/>
      <c r="T605" s="928"/>
      <c r="U605" s="928"/>
      <c r="V605" s="928"/>
      <c r="W605" s="928"/>
      <c r="X605" s="928"/>
      <c r="Y605" s="928"/>
      <c r="Z605" s="928"/>
      <c r="AA605" s="928"/>
      <c r="AB605" s="928"/>
      <c r="AC605" s="536"/>
      <c r="AD605" s="536"/>
      <c r="AE605" s="536"/>
      <c r="AF605" s="536"/>
      <c r="AG605" s="536"/>
      <c r="AH605" s="536"/>
      <c r="AI605" s="536"/>
      <c r="AJ605" s="536"/>
      <c r="AK605" s="536"/>
      <c r="AL605" s="536"/>
      <c r="AN605" s="595"/>
    </row>
    <row r="606" spans="1:42" s="549" customFormat="1" ht="12.75" customHeight="1">
      <c r="B606" s="536"/>
      <c r="C606" s="929"/>
      <c r="D606" s="659"/>
      <c r="E606" s="834" t="s">
        <v>1695</v>
      </c>
      <c r="F606" s="928"/>
      <c r="G606" s="928"/>
      <c r="H606" s="928"/>
      <c r="I606" s="928"/>
      <c r="J606" s="928"/>
      <c r="K606" s="928"/>
      <c r="L606" s="928"/>
      <c r="M606" s="928"/>
      <c r="N606" s="928"/>
      <c r="O606" s="928"/>
      <c r="P606" s="928"/>
      <c r="Q606" s="928"/>
      <c r="R606" s="928"/>
      <c r="S606" s="928"/>
      <c r="T606" s="928"/>
      <c r="U606" s="928"/>
      <c r="V606" s="928"/>
      <c r="W606" s="928"/>
      <c r="X606" s="928"/>
      <c r="Y606" s="928"/>
      <c r="Z606" s="928"/>
      <c r="AA606" s="928"/>
      <c r="AB606" s="928"/>
      <c r="AC606" s="536"/>
      <c r="AD606" s="536"/>
      <c r="AE606" s="536"/>
      <c r="AF606" s="536"/>
      <c r="AG606" s="536"/>
      <c r="AH606" s="536"/>
      <c r="AI606" s="536"/>
      <c r="AJ606" s="536"/>
      <c r="AK606" s="536"/>
      <c r="AL606" s="536"/>
      <c r="AN606" s="595"/>
      <c r="AO606" s="22" t="s">
        <v>2131</v>
      </c>
    </row>
    <row r="607" spans="1:42" s="549" customFormat="1" ht="12.75" customHeight="1">
      <c r="B607" s="536"/>
      <c r="C607" s="929"/>
      <c r="D607" s="659"/>
      <c r="E607" s="834" t="s">
        <v>1697</v>
      </c>
      <c r="F607" s="928"/>
      <c r="G607" s="928"/>
      <c r="H607" s="928"/>
      <c r="I607" s="928"/>
      <c r="J607" s="928"/>
      <c r="K607" s="928"/>
      <c r="L607" s="928"/>
      <c r="M607" s="928"/>
      <c r="N607" s="928"/>
      <c r="O607" s="928"/>
      <c r="P607" s="928"/>
      <c r="Q607" s="928"/>
      <c r="R607" s="928"/>
      <c r="S607" s="928"/>
      <c r="T607" s="928"/>
      <c r="U607" s="928"/>
      <c r="V607" s="928"/>
      <c r="W607" s="928"/>
      <c r="X607" s="928"/>
      <c r="Y607" s="928"/>
      <c r="Z607" s="928"/>
      <c r="AA607" s="928"/>
      <c r="AB607" s="928"/>
      <c r="AC607" s="536"/>
      <c r="AD607" s="536"/>
      <c r="AE607" s="536"/>
      <c r="AF607" s="536"/>
      <c r="AG607" s="536"/>
      <c r="AH607" s="536"/>
      <c r="AI607" s="536"/>
      <c r="AJ607" s="536"/>
      <c r="AK607" s="536"/>
      <c r="AL607" s="536"/>
      <c r="AN607" s="595"/>
      <c r="AO607" s="22" t="s">
        <v>2132</v>
      </c>
    </row>
    <row r="608" spans="1:42" s="549" customFormat="1" ht="12.75" customHeight="1">
      <c r="B608" s="536"/>
      <c r="C608" s="929"/>
      <c r="D608" s="659"/>
      <c r="E608" s="834" t="s">
        <v>1696</v>
      </c>
      <c r="F608" s="928"/>
      <c r="G608" s="928"/>
      <c r="H608" s="928"/>
      <c r="I608" s="928"/>
      <c r="J608" s="928"/>
      <c r="K608" s="928"/>
      <c r="L608" s="928"/>
      <c r="M608" s="928"/>
      <c r="N608" s="928"/>
      <c r="O608" s="928"/>
      <c r="P608" s="928"/>
      <c r="Q608" s="928"/>
      <c r="R608" s="928"/>
      <c r="S608" s="928"/>
      <c r="T608" s="928"/>
      <c r="U608" s="928"/>
      <c r="V608" s="928"/>
      <c r="W608" s="928"/>
      <c r="X608" s="928"/>
      <c r="Y608" s="928"/>
      <c r="Z608" s="928"/>
      <c r="AA608" s="928"/>
      <c r="AB608" s="928"/>
      <c r="AC608" s="536"/>
      <c r="AD608" s="536"/>
      <c r="AE608" s="536"/>
      <c r="AF608" s="536"/>
      <c r="AG608" s="536"/>
      <c r="AH608" s="536"/>
      <c r="AI608" s="536"/>
      <c r="AJ608" s="536"/>
      <c r="AK608" s="536"/>
      <c r="AL608" s="536"/>
      <c r="AN608" s="595"/>
      <c r="AO608" s="22" t="s">
        <v>2133</v>
      </c>
    </row>
    <row r="609" spans="1:53" s="549" customFormat="1" ht="12.75" customHeight="1">
      <c r="A609" s="14"/>
      <c r="B609" s="14"/>
      <c r="C609" s="14"/>
      <c r="D609" s="659"/>
      <c r="E609" s="670"/>
      <c r="F609" s="14"/>
      <c r="G609" s="14"/>
      <c r="H609" s="14"/>
      <c r="I609" s="14"/>
      <c r="J609" s="14"/>
      <c r="K609" s="14"/>
      <c r="L609" s="14"/>
      <c r="M609" s="14"/>
      <c r="N609" s="14"/>
      <c r="O609" s="14"/>
      <c r="P609" s="14"/>
      <c r="Q609" s="14"/>
      <c r="R609" s="14"/>
      <c r="S609" s="14"/>
      <c r="T609" s="14"/>
      <c r="U609" s="14"/>
      <c r="V609" s="14"/>
      <c r="W609" s="14"/>
      <c r="X609" s="14"/>
      <c r="Y609" s="14"/>
      <c r="Z609" s="14"/>
      <c r="AA609" s="14"/>
      <c r="AB609" s="14"/>
      <c r="AC609" s="536"/>
      <c r="AD609" s="536"/>
      <c r="AE609" s="14"/>
      <c r="AF609" s="536"/>
      <c r="AG609" s="536"/>
      <c r="AH609" s="536"/>
      <c r="AI609" s="536"/>
      <c r="AJ609" s="536"/>
      <c r="AK609" s="536"/>
      <c r="AL609" s="536"/>
      <c r="AM609" s="14"/>
      <c r="AN609" s="595"/>
    </row>
    <row r="610" spans="1:53" s="549" customFormat="1" ht="12.75" customHeight="1">
      <c r="B610" s="536"/>
      <c r="C610" s="927"/>
      <c r="D610" s="659" t="s">
        <v>1389</v>
      </c>
      <c r="E610" s="834" t="s">
        <v>1699</v>
      </c>
      <c r="F610" s="928"/>
      <c r="G610" s="928"/>
      <c r="H610" s="928"/>
      <c r="I610" s="928"/>
      <c r="J610" s="928"/>
      <c r="K610" s="928"/>
      <c r="L610" s="928"/>
      <c r="M610" s="928"/>
      <c r="N610" s="928"/>
      <c r="O610" s="928"/>
      <c r="P610" s="928"/>
      <c r="Q610" s="928"/>
      <c r="R610" s="928"/>
      <c r="S610" s="928"/>
      <c r="T610" s="928"/>
      <c r="U610" s="928"/>
      <c r="V610" s="928"/>
      <c r="W610" s="928"/>
      <c r="X610" s="928"/>
      <c r="Y610" s="928"/>
      <c r="Z610" s="928"/>
      <c r="AA610" s="928"/>
      <c r="AB610" s="928"/>
      <c r="AC610" s="536"/>
      <c r="AD610" s="536"/>
      <c r="AE610" s="536"/>
      <c r="AF610" s="2388" t="s">
        <v>1391</v>
      </c>
      <c r="AG610" s="2388"/>
      <c r="AH610" s="2388"/>
      <c r="AI610" s="2388"/>
      <c r="AJ610" s="2388"/>
      <c r="AK610" s="2388"/>
      <c r="AL610" s="2388"/>
      <c r="AN610" s="595"/>
      <c r="AO610" s="549" t="str">
        <f>X647</f>
        <v>N/A</v>
      </c>
    </row>
    <row r="611" spans="1:53" s="549" customFormat="1" ht="12.75" customHeight="1">
      <c r="B611" s="536"/>
      <c r="C611" s="929"/>
      <c r="D611" s="659"/>
      <c r="E611" s="834" t="s">
        <v>1700</v>
      </c>
      <c r="F611" s="928"/>
      <c r="G611" s="928"/>
      <c r="H611" s="928"/>
      <c r="I611" s="928"/>
      <c r="J611" s="928"/>
      <c r="K611" s="928"/>
      <c r="L611" s="928"/>
      <c r="M611" s="928"/>
      <c r="N611" s="928"/>
      <c r="O611" s="928"/>
      <c r="P611" s="928"/>
      <c r="Q611" s="928"/>
      <c r="R611" s="928"/>
      <c r="S611" s="928"/>
      <c r="T611" s="928"/>
      <c r="U611" s="928"/>
      <c r="V611" s="928"/>
      <c r="W611" s="928"/>
      <c r="X611" s="928"/>
      <c r="Y611" s="928"/>
      <c r="Z611" s="928"/>
      <c r="AA611" s="928"/>
      <c r="AB611" s="928"/>
      <c r="AC611" s="14"/>
      <c r="AD611" s="14"/>
      <c r="AE611" s="536"/>
      <c r="AF611" s="536"/>
      <c r="AG611" s="536"/>
      <c r="AH611" s="536"/>
      <c r="AI611" s="536"/>
      <c r="AJ611" s="536"/>
      <c r="AK611" s="536"/>
      <c r="AL611" s="536"/>
      <c r="AN611" s="595"/>
      <c r="AU611" s="592"/>
      <c r="AV611" s="592"/>
      <c r="AW611" s="592"/>
      <c r="AX611" s="592"/>
      <c r="AY611" s="592"/>
      <c r="AZ611" s="592"/>
      <c r="BA611" s="592"/>
    </row>
    <row r="612" spans="1:53" s="549" customFormat="1" ht="12.75" customHeight="1">
      <c r="B612" s="608"/>
      <c r="C612" s="927"/>
      <c r="D612" s="659"/>
      <c r="E612" s="834" t="s">
        <v>1701</v>
      </c>
      <c r="F612" s="928"/>
      <c r="G612" s="928"/>
      <c r="H612" s="928"/>
      <c r="I612" s="928"/>
      <c r="J612" s="928"/>
      <c r="K612" s="928"/>
      <c r="L612" s="928"/>
      <c r="M612" s="928"/>
      <c r="N612" s="928"/>
      <c r="O612" s="928"/>
      <c r="P612" s="928"/>
      <c r="Q612" s="928"/>
      <c r="R612" s="928"/>
      <c r="S612" s="928"/>
      <c r="T612" s="928"/>
      <c r="U612" s="928"/>
      <c r="V612" s="928"/>
      <c r="W612" s="928"/>
      <c r="X612" s="928"/>
      <c r="Y612" s="928"/>
      <c r="Z612" s="928"/>
      <c r="AA612" s="928"/>
      <c r="AB612" s="928"/>
      <c r="AC612" s="536"/>
      <c r="AD612" s="536"/>
      <c r="AE612" s="536"/>
      <c r="AF612" s="536"/>
      <c r="AG612" s="536"/>
      <c r="AH612" s="536"/>
      <c r="AI612" s="536"/>
      <c r="AJ612" s="536"/>
      <c r="AK612" s="536"/>
      <c r="AL612" s="536"/>
      <c r="AN612" s="595"/>
      <c r="AO612" s="22" t="s">
        <v>2134</v>
      </c>
    </row>
    <row r="613" spans="1:53" s="549" customFormat="1" ht="12.75" customHeight="1">
      <c r="B613" s="608"/>
      <c r="C613" s="927"/>
      <c r="D613" s="659"/>
      <c r="E613" s="834"/>
      <c r="F613" s="928"/>
      <c r="G613" s="928"/>
      <c r="H613" s="928"/>
      <c r="I613" s="928"/>
      <c r="J613" s="928"/>
      <c r="K613" s="928"/>
      <c r="L613" s="928"/>
      <c r="M613" s="928"/>
      <c r="N613" s="928"/>
      <c r="O613" s="928"/>
      <c r="P613" s="928"/>
      <c r="Q613" s="928"/>
      <c r="R613" s="928"/>
      <c r="S613" s="928"/>
      <c r="T613" s="928"/>
      <c r="U613" s="928"/>
      <c r="V613" s="928"/>
      <c r="W613" s="928"/>
      <c r="X613" s="928"/>
      <c r="Y613" s="928"/>
      <c r="Z613" s="928"/>
      <c r="AA613" s="928"/>
      <c r="AB613" s="928"/>
      <c r="AC613" s="536"/>
      <c r="AD613" s="536"/>
      <c r="AE613" s="536"/>
      <c r="AF613" s="536"/>
      <c r="AG613" s="536"/>
      <c r="AH613" s="536"/>
      <c r="AI613" s="536"/>
      <c r="AJ613" s="536"/>
      <c r="AK613" s="536"/>
      <c r="AL613" s="536"/>
      <c r="AN613" s="595"/>
      <c r="AO613" s="22" t="s">
        <v>2135</v>
      </c>
    </row>
    <row r="614" spans="1:53" s="549" customFormat="1" ht="12.75" customHeight="1">
      <c r="B614" s="608"/>
      <c r="C614" s="927"/>
      <c r="D614" s="659"/>
      <c r="E614" s="536" t="s">
        <v>1839</v>
      </c>
      <c r="O614" s="2533" t="s">
        <v>1184</v>
      </c>
      <c r="P614" s="2533"/>
      <c r="Q614" s="2533"/>
      <c r="R614" s="2533"/>
      <c r="S614" s="2533"/>
      <c r="T614" s="2533"/>
      <c r="U614" s="2533"/>
      <c r="V614" s="2533"/>
      <c r="W614" s="2533"/>
      <c r="X614" s="2533"/>
      <c r="Y614" s="2533"/>
      <c r="Z614" s="2533"/>
      <c r="AA614" s="2533"/>
      <c r="AB614" s="2533"/>
      <c r="AH614" s="536"/>
      <c r="AI614" s="536"/>
      <c r="AJ614" s="536"/>
      <c r="AK614" s="536"/>
      <c r="AL614" s="536"/>
      <c r="AN614" s="595"/>
    </row>
    <row r="615" spans="1:53" s="549" customFormat="1" ht="12.75" customHeight="1">
      <c r="B615" s="608"/>
      <c r="C615" s="927"/>
      <c r="D615" s="659"/>
      <c r="E615" s="834"/>
      <c r="F615" s="928"/>
      <c r="G615" s="928"/>
      <c r="H615" s="928"/>
      <c r="I615" s="928"/>
      <c r="J615" s="928"/>
      <c r="K615" s="928"/>
      <c r="L615" s="928"/>
      <c r="M615" s="928"/>
      <c r="N615" s="928"/>
      <c r="O615" s="928"/>
      <c r="P615" s="928"/>
      <c r="Q615" s="928"/>
      <c r="R615" s="928"/>
      <c r="S615" s="928"/>
      <c r="T615" s="928"/>
      <c r="U615" s="928"/>
      <c r="V615" s="928"/>
      <c r="W615" s="928"/>
      <c r="X615" s="928"/>
      <c r="Y615" s="928"/>
      <c r="Z615" s="928"/>
      <c r="AA615" s="928"/>
      <c r="AB615" s="928"/>
      <c r="AC615" s="536"/>
      <c r="AD615" s="536"/>
      <c r="AE615" s="536"/>
      <c r="AF615" s="536"/>
      <c r="AG615" s="536"/>
      <c r="AH615" s="536"/>
      <c r="AI615" s="536"/>
      <c r="AJ615" s="536"/>
      <c r="AK615" s="536"/>
      <c r="AL615" s="536"/>
      <c r="AN615" s="595"/>
    </row>
    <row r="616" spans="1:53" s="549" customFormat="1" ht="12.75" customHeight="1">
      <c r="B616" s="536"/>
      <c r="C616" s="927"/>
      <c r="D616" s="659" t="s">
        <v>1390</v>
      </c>
      <c r="E616" s="834" t="s">
        <v>1703</v>
      </c>
      <c r="F616" s="928"/>
      <c r="G616" s="928"/>
      <c r="H616" s="928"/>
      <c r="I616" s="928"/>
      <c r="J616" s="928"/>
      <c r="K616" s="928"/>
      <c r="L616" s="928"/>
      <c r="M616" s="928"/>
      <c r="N616" s="928"/>
      <c r="O616" s="928"/>
      <c r="P616" s="928"/>
      <c r="Q616" s="928"/>
      <c r="R616" s="928"/>
      <c r="S616" s="928"/>
      <c r="T616" s="928"/>
      <c r="U616" s="928"/>
      <c r="V616" s="928"/>
      <c r="W616" s="928"/>
      <c r="X616" s="928"/>
      <c r="Y616" s="928"/>
      <c r="Z616" s="928"/>
      <c r="AA616" s="928"/>
      <c r="AB616" s="928"/>
      <c r="AC616" s="536"/>
      <c r="AD616" s="536"/>
      <c r="AE616" s="536"/>
      <c r="AF616" s="2388" t="s">
        <v>1346</v>
      </c>
      <c r="AG616" s="2388"/>
      <c r="AH616" s="2388"/>
      <c r="AI616" s="2388"/>
      <c r="AJ616" s="2388"/>
      <c r="AK616" s="2388"/>
      <c r="AL616" s="2388"/>
      <c r="AN616" s="595"/>
    </row>
    <row r="617" spans="1:53" s="549" customFormat="1" ht="12.75" customHeight="1">
      <c r="B617" s="536"/>
      <c r="C617" s="927"/>
      <c r="D617" s="659"/>
      <c r="E617" s="834" t="s">
        <v>1702</v>
      </c>
      <c r="F617" s="928"/>
      <c r="G617" s="928"/>
      <c r="H617" s="928"/>
      <c r="I617" s="928"/>
      <c r="J617" s="928"/>
      <c r="K617" s="928"/>
      <c r="L617" s="928"/>
      <c r="M617" s="928"/>
      <c r="N617" s="928"/>
      <c r="O617" s="928"/>
      <c r="P617" s="928"/>
      <c r="Q617" s="928"/>
      <c r="R617" s="928"/>
      <c r="S617" s="928"/>
      <c r="T617" s="928"/>
      <c r="U617" s="928"/>
      <c r="V617" s="928"/>
      <c r="W617" s="928"/>
      <c r="X617" s="928"/>
      <c r="Y617" s="928"/>
      <c r="Z617" s="928"/>
      <c r="AA617" s="928"/>
      <c r="AB617" s="928"/>
      <c r="AC617" s="536"/>
      <c r="AD617" s="536"/>
      <c r="AE617" s="592"/>
      <c r="AF617" s="536"/>
      <c r="AG617" s="536"/>
      <c r="AH617" s="536"/>
      <c r="AI617" s="536"/>
      <c r="AJ617" s="536"/>
      <c r="AK617" s="536"/>
      <c r="AL617" s="536"/>
      <c r="AN617" s="595"/>
    </row>
    <row r="618" spans="1:53" s="549" customFormat="1" ht="12.75" customHeight="1">
      <c r="B618" s="536"/>
      <c r="C618" s="929"/>
      <c r="D618" s="536"/>
      <c r="E618" s="614"/>
      <c r="F618" s="932"/>
      <c r="G618" s="932"/>
      <c r="H618" s="932"/>
      <c r="I618" s="932"/>
      <c r="J618" s="932"/>
      <c r="K618" s="932"/>
      <c r="L618" s="932"/>
      <c r="M618" s="932"/>
      <c r="N618" s="932"/>
      <c r="O618" s="932"/>
      <c r="P618" s="932"/>
      <c r="Q618" s="932"/>
      <c r="R618" s="932"/>
      <c r="S618" s="932"/>
      <c r="T618" s="932"/>
      <c r="U618" s="932"/>
      <c r="V618" s="932"/>
      <c r="W618" s="932"/>
      <c r="X618" s="932"/>
      <c r="Y618" s="932"/>
      <c r="Z618" s="932"/>
      <c r="AA618" s="932"/>
      <c r="AB618" s="932"/>
      <c r="AC618" s="536"/>
      <c r="AD618" s="536"/>
      <c r="AE618" s="536"/>
      <c r="AF618" s="536"/>
      <c r="AG618" s="536"/>
      <c r="AH618" s="536"/>
      <c r="AI618" s="536"/>
      <c r="AJ618" s="536"/>
      <c r="AK618" s="536"/>
      <c r="AL618" s="536"/>
      <c r="AN618" s="595"/>
      <c r="AO618" s="549" t="s">
        <v>591</v>
      </c>
      <c r="AP618" s="669">
        <v>0</v>
      </c>
      <c r="AT618" s="549" t="s">
        <v>591</v>
      </c>
      <c r="AU618" s="669">
        <v>0</v>
      </c>
    </row>
    <row r="619" spans="1:53" s="549" customFormat="1" ht="12.75" customHeight="1">
      <c r="B619" s="536"/>
      <c r="C619" s="929"/>
      <c r="D619" s="536" t="s">
        <v>1392</v>
      </c>
      <c r="E619" s="932"/>
      <c r="F619" s="932"/>
      <c r="G619" s="932"/>
      <c r="H619" s="2389" t="s">
        <v>1389</v>
      </c>
      <c r="I619" s="2389"/>
      <c r="J619" s="932"/>
      <c r="K619" s="932"/>
      <c r="L619" s="932"/>
      <c r="N619" s="22"/>
      <c r="O619" s="22"/>
      <c r="P619" s="22"/>
      <c r="Q619" s="1145" t="s">
        <v>2130</v>
      </c>
      <c r="R619" s="2534" t="s">
        <v>2131</v>
      </c>
      <c r="S619" s="2534"/>
      <c r="T619" s="2534"/>
      <c r="U619" s="2534"/>
      <c r="V619" s="2534"/>
      <c r="W619" s="2534"/>
      <c r="X619" s="536"/>
      <c r="Y619" s="536"/>
      <c r="Z619" s="536"/>
      <c r="AA619" s="536"/>
      <c r="AB619" s="536"/>
      <c r="AC619" s="536"/>
      <c r="AD619" s="536"/>
      <c r="AE619" s="536"/>
      <c r="AF619" s="536"/>
      <c r="AG619" s="536"/>
      <c r="AH619" s="536"/>
      <c r="AI619" s="536"/>
      <c r="AJ619" s="536"/>
      <c r="AK619" s="536"/>
      <c r="AL619" s="536"/>
      <c r="AN619" s="595"/>
      <c r="AO619" s="609" t="s">
        <v>687</v>
      </c>
      <c r="AP619" s="549">
        <v>3</v>
      </c>
      <c r="AT619" s="609" t="s">
        <v>687</v>
      </c>
      <c r="AU619" s="549">
        <v>3</v>
      </c>
    </row>
    <row r="620" spans="1:53" s="549" customFormat="1" ht="12.75" customHeight="1">
      <c r="B620" s="536"/>
      <c r="C620" s="929"/>
      <c r="D620" s="536"/>
      <c r="E620" s="932"/>
      <c r="F620" s="932"/>
      <c r="G620" s="932"/>
      <c r="H620" s="932"/>
      <c r="I620" s="932"/>
      <c r="J620" s="932"/>
      <c r="K620" s="932"/>
      <c r="L620" s="932"/>
      <c r="M620" s="932"/>
      <c r="N620" s="536"/>
      <c r="O620" s="536"/>
      <c r="P620" s="536"/>
      <c r="Q620" s="536"/>
      <c r="R620" s="536"/>
      <c r="S620" s="536"/>
      <c r="T620" s="536"/>
      <c r="U620" s="536"/>
      <c r="V620" s="536"/>
      <c r="W620" s="536"/>
      <c r="X620" s="536"/>
      <c r="Y620" s="2535" t="str">
        <f>IF(AND(H619="(i)",NOT(AP595)),AO612,IF(AND(H619="(iv)",OR(R619=AO608,R619=AO607),NOT(AP596)),AO613,""))</f>
        <v/>
      </c>
      <c r="Z620" s="2535"/>
      <c r="AA620" s="2535"/>
      <c r="AB620" s="2535"/>
      <c r="AC620" s="2535"/>
      <c r="AD620" s="2535"/>
      <c r="AE620" s="2535"/>
      <c r="AF620" s="2535"/>
      <c r="AG620" s="2535"/>
      <c r="AH620" s="2535"/>
      <c r="AI620" s="2535"/>
      <c r="AJ620" s="2535"/>
      <c r="AK620" s="2535"/>
      <c r="AL620" s="2535"/>
      <c r="AM620" s="2536"/>
      <c r="AN620" s="595"/>
      <c r="AO620" s="609" t="s">
        <v>509</v>
      </c>
      <c r="AP620" s="549">
        <v>2</v>
      </c>
      <c r="AT620" s="609" t="s">
        <v>509</v>
      </c>
      <c r="AU620" s="549">
        <v>2</v>
      </c>
    </row>
    <row r="621" spans="1:53" s="549" customFormat="1" ht="12.75" customHeight="1">
      <c r="B621" s="536"/>
      <c r="C621" s="929"/>
      <c r="D621" s="536"/>
      <c r="E621" s="932"/>
      <c r="F621" s="932"/>
      <c r="G621" s="932"/>
      <c r="H621" s="932"/>
      <c r="I621" s="932"/>
      <c r="J621" s="932"/>
      <c r="K621" s="932"/>
      <c r="L621" s="932"/>
      <c r="M621" s="932"/>
      <c r="N621" s="536"/>
      <c r="O621" s="536"/>
      <c r="P621" s="536"/>
      <c r="Q621" s="536"/>
      <c r="X621" s="536"/>
      <c r="Y621" s="2535"/>
      <c r="Z621" s="2535"/>
      <c r="AA621" s="2535"/>
      <c r="AB621" s="2535"/>
      <c r="AC621" s="2535"/>
      <c r="AD621" s="2535"/>
      <c r="AE621" s="2535"/>
      <c r="AF621" s="2535"/>
      <c r="AG621" s="2535"/>
      <c r="AH621" s="2535"/>
      <c r="AI621" s="2535"/>
      <c r="AJ621" s="2535"/>
      <c r="AK621" s="2535"/>
      <c r="AL621" s="2535"/>
      <c r="AM621" s="2536"/>
      <c r="AN621" s="595"/>
      <c r="AO621" s="609"/>
      <c r="AT621" s="609"/>
    </row>
    <row r="622" spans="1:53" s="549" customFormat="1" ht="12.75" customHeight="1">
      <c r="B622" s="536"/>
      <c r="C622" s="929"/>
      <c r="D622" s="536" t="s">
        <v>1704</v>
      </c>
      <c r="E622" s="932"/>
      <c r="F622" s="932"/>
      <c r="G622" s="932"/>
      <c r="H622" s="932"/>
      <c r="I622" s="932"/>
      <c r="J622" s="932"/>
      <c r="K622" s="932"/>
      <c r="L622" s="932"/>
      <c r="M622" s="932"/>
      <c r="N622" s="536"/>
      <c r="O622" s="536"/>
      <c r="P622" s="536"/>
      <c r="Q622" s="536"/>
      <c r="R622" s="536"/>
      <c r="S622" s="536"/>
      <c r="T622" s="536"/>
      <c r="U622" s="536"/>
      <c r="V622" s="536"/>
      <c r="W622" s="536"/>
      <c r="X622" s="536"/>
      <c r="Y622" s="536"/>
      <c r="Z622" s="536"/>
      <c r="AA622" s="536"/>
      <c r="AB622" s="536"/>
      <c r="AC622" s="536"/>
      <c r="AD622" s="536"/>
      <c r="AE622" s="536"/>
      <c r="AF622" s="536"/>
      <c r="AG622" s="536"/>
      <c r="AH622" s="536"/>
      <c r="AI622" s="536"/>
      <c r="AJ622" s="536"/>
      <c r="AK622" s="536"/>
      <c r="AL622" s="536"/>
      <c r="AN622" s="595"/>
    </row>
    <row r="623" spans="1:53" s="549" customFormat="1" ht="12.75" customHeight="1">
      <c r="B623" s="536"/>
      <c r="C623" s="929"/>
      <c r="D623" s="536" t="s">
        <v>1705</v>
      </c>
      <c r="E623" s="932"/>
      <c r="F623" s="932"/>
      <c r="G623" s="932"/>
      <c r="H623" s="932"/>
      <c r="I623" s="932"/>
      <c r="J623" s="932"/>
      <c r="K623" s="932"/>
      <c r="L623" s="932"/>
      <c r="M623" s="932"/>
      <c r="N623" s="536"/>
      <c r="O623" s="536"/>
      <c r="P623" s="536"/>
      <c r="Q623" s="536"/>
      <c r="R623" s="536"/>
      <c r="S623" s="536"/>
      <c r="T623" s="536"/>
      <c r="U623" s="536"/>
      <c r="V623" s="536"/>
      <c r="W623" s="536"/>
      <c r="X623" s="536"/>
      <c r="Y623" s="536"/>
      <c r="Z623" s="536"/>
      <c r="AA623" s="536"/>
      <c r="AB623" s="536"/>
      <c r="AC623" s="536"/>
      <c r="AD623" s="536"/>
      <c r="AE623" s="536"/>
      <c r="AF623" s="536"/>
      <c r="AG623" s="536"/>
      <c r="AH623" s="536"/>
      <c r="AI623" s="536"/>
      <c r="AJ623" s="536"/>
      <c r="AK623" s="536"/>
      <c r="AL623" s="536"/>
      <c r="AN623" s="595"/>
    </row>
    <row r="624" spans="1:53" s="549" customFormat="1" ht="12.75" customHeight="1">
      <c r="B624" s="536"/>
      <c r="C624" s="929"/>
      <c r="D624" s="536" t="s">
        <v>1706</v>
      </c>
      <c r="E624" s="932"/>
      <c r="F624" s="932"/>
      <c r="G624" s="932"/>
      <c r="H624" s="932"/>
      <c r="I624" s="932"/>
      <c r="J624" s="932"/>
      <c r="K624" s="932"/>
      <c r="L624" s="932"/>
      <c r="M624" s="932"/>
      <c r="N624" s="536"/>
      <c r="O624" s="536"/>
      <c r="P624" s="536"/>
      <c r="Q624" s="536"/>
      <c r="R624" s="536"/>
      <c r="S624" s="536"/>
      <c r="T624" s="536"/>
      <c r="U624" s="536"/>
      <c r="V624" s="536"/>
      <c r="W624" s="536"/>
      <c r="X624" s="536"/>
      <c r="Y624" s="536"/>
      <c r="Z624" s="536"/>
      <c r="AA624" s="536"/>
      <c r="AB624" s="536"/>
      <c r="AC624" s="536"/>
      <c r="AD624" s="536"/>
      <c r="AE624" s="536"/>
      <c r="AF624" s="536"/>
      <c r="AG624" s="536"/>
      <c r="AH624" s="536"/>
      <c r="AI624" s="536"/>
      <c r="AJ624" s="536"/>
      <c r="AK624" s="536"/>
      <c r="AL624" s="536"/>
      <c r="AN624" s="595"/>
    </row>
    <row r="625" spans="1:42" s="549" customFormat="1" ht="12.75" customHeight="1">
      <c r="B625" s="536"/>
      <c r="C625" s="929"/>
      <c r="D625" s="603" t="s">
        <v>1707</v>
      </c>
      <c r="E625" s="932"/>
      <c r="F625" s="932"/>
      <c r="G625" s="932"/>
      <c r="H625" s="932"/>
      <c r="I625" s="932"/>
      <c r="J625" s="932"/>
      <c r="K625" s="932"/>
      <c r="L625" s="932"/>
      <c r="M625" s="932"/>
      <c r="N625" s="536"/>
      <c r="O625" s="536"/>
      <c r="P625" s="536"/>
      <c r="Q625" s="536"/>
      <c r="R625" s="536"/>
      <c r="S625" s="536"/>
      <c r="T625" s="536"/>
      <c r="U625" s="536"/>
      <c r="V625" s="536"/>
      <c r="W625" s="536"/>
      <c r="X625" s="536"/>
      <c r="Y625" s="536"/>
      <c r="Z625" s="536"/>
      <c r="AA625" s="536"/>
      <c r="AB625" s="536"/>
      <c r="AC625" s="536"/>
      <c r="AD625" s="536"/>
      <c r="AE625" s="536"/>
      <c r="AF625" s="536"/>
      <c r="AG625" s="536"/>
      <c r="AH625" s="536"/>
      <c r="AI625" s="536"/>
      <c r="AJ625" s="536"/>
      <c r="AK625" s="536"/>
      <c r="AL625" s="536"/>
      <c r="AN625" s="595"/>
    </row>
    <row r="626" spans="1:42" s="549" customFormat="1" ht="12.75" customHeight="1">
      <c r="B626" s="536"/>
      <c r="C626" s="929"/>
      <c r="D626" s="536"/>
      <c r="E626" s="536"/>
      <c r="F626" s="536"/>
      <c r="G626" s="536"/>
      <c r="H626" s="536"/>
      <c r="I626" s="536"/>
      <c r="J626" s="536"/>
      <c r="K626" s="536"/>
      <c r="L626" s="536"/>
      <c r="M626" s="536"/>
      <c r="N626" s="536"/>
      <c r="O626" s="536"/>
      <c r="P626" s="536"/>
      <c r="Q626" s="536"/>
      <c r="R626" s="536"/>
      <c r="S626" s="536"/>
      <c r="T626" s="536"/>
      <c r="U626" s="536"/>
      <c r="V626" s="536"/>
      <c r="W626" s="536"/>
      <c r="X626" s="536"/>
      <c r="Y626" s="536"/>
      <c r="Z626" s="536"/>
      <c r="AA626" s="536"/>
      <c r="AB626" s="536"/>
      <c r="AC626" s="536"/>
      <c r="AD626" s="536"/>
      <c r="AE626" s="536"/>
      <c r="AF626" s="536"/>
      <c r="AG626" s="536"/>
      <c r="AH626" s="536"/>
      <c r="AI626" s="536"/>
      <c r="AJ626" s="536"/>
      <c r="AK626" s="536"/>
      <c r="AL626" s="536"/>
      <c r="AN626" s="595"/>
      <c r="AO626" s="549" t="s">
        <v>591</v>
      </c>
      <c r="AP626" s="669">
        <v>0</v>
      </c>
    </row>
    <row r="627" spans="1:42" s="549" customFormat="1" ht="12.75" customHeight="1">
      <c r="B627" s="536"/>
      <c r="C627" s="929"/>
      <c r="D627" s="536"/>
      <c r="E627" s="536" t="s">
        <v>1392</v>
      </c>
      <c r="F627" s="932"/>
      <c r="G627" s="932"/>
      <c r="I627" s="2532" t="s">
        <v>591</v>
      </c>
      <c r="J627" s="2532"/>
      <c r="K627" s="2532"/>
      <c r="L627" s="2532"/>
      <c r="M627" s="2532"/>
      <c r="N627" s="2532"/>
      <c r="O627" s="2532"/>
      <c r="P627" s="2532"/>
      <c r="Q627" s="2532"/>
      <c r="R627" s="2532"/>
      <c r="S627" s="2532"/>
      <c r="T627" s="2532"/>
      <c r="U627" s="2532"/>
      <c r="V627" s="2532"/>
      <c r="W627" s="2532"/>
      <c r="X627" s="2532"/>
      <c r="Y627" s="2532"/>
      <c r="Z627" s="2532"/>
      <c r="AA627" s="2532"/>
      <c r="AB627" s="2532"/>
      <c r="AC627" s="2532"/>
      <c r="AD627" s="2532"/>
      <c r="AE627" s="2532"/>
      <c r="AF627" s="536"/>
      <c r="AG627" s="536"/>
      <c r="AH627" s="536"/>
      <c r="AI627" s="536"/>
      <c r="AJ627" s="536"/>
      <c r="AK627" s="536"/>
      <c r="AL627" s="536"/>
      <c r="AN627" s="595"/>
      <c r="AO627" s="549" t="s">
        <v>1393</v>
      </c>
      <c r="AP627" s="549">
        <v>3</v>
      </c>
    </row>
    <row r="628" spans="1:42" s="549" customFormat="1" ht="12.75" customHeight="1">
      <c r="B628" s="536"/>
      <c r="C628" s="536"/>
      <c r="D628" s="536"/>
      <c r="E628" s="536"/>
      <c r="F628" s="640"/>
      <c r="G628" s="640"/>
      <c r="H628" s="640"/>
      <c r="I628" s="640"/>
      <c r="J628" s="640"/>
      <c r="K628" s="640"/>
      <c r="L628" s="640"/>
      <c r="M628" s="640"/>
      <c r="N628" s="640"/>
      <c r="O628" s="640"/>
      <c r="P628" s="640"/>
      <c r="Q628" s="640"/>
      <c r="R628" s="640"/>
      <c r="S628" s="640"/>
      <c r="T628" s="640"/>
      <c r="U628" s="640"/>
      <c r="V628" s="640"/>
      <c r="W628" s="640"/>
      <c r="X628" s="640"/>
      <c r="Y628" s="640"/>
      <c r="Z628" s="640"/>
      <c r="AA628" s="640"/>
      <c r="AB628" s="640"/>
      <c r="AC628" s="640"/>
      <c r="AD628" s="640"/>
      <c r="AE628" s="640"/>
      <c r="AF628" s="640"/>
      <c r="AG628" s="640"/>
      <c r="AH628" s="640"/>
      <c r="AI628" s="640"/>
      <c r="AJ628" s="640"/>
      <c r="AK628" s="640"/>
      <c r="AL628" s="640"/>
      <c r="AN628" s="595"/>
      <c r="AO628" s="549" t="s">
        <v>1394</v>
      </c>
      <c r="AP628" s="549">
        <v>2</v>
      </c>
    </row>
    <row r="629" spans="1:42" s="549" customFormat="1" ht="12.75" customHeight="1">
      <c r="B629" s="2395" t="s">
        <v>591</v>
      </c>
      <c r="C629" s="2395"/>
      <c r="D629" s="640"/>
      <c r="E629" s="2387" t="s">
        <v>1395</v>
      </c>
      <c r="F629" s="2387"/>
      <c r="G629" s="2387"/>
      <c r="H629" s="2387"/>
      <c r="I629" s="2387"/>
      <c r="J629" s="2387"/>
      <c r="K629" s="2387"/>
      <c r="L629" s="2387"/>
      <c r="M629" s="2387"/>
      <c r="N629" s="2387"/>
      <c r="O629" s="2387"/>
      <c r="P629" s="2387"/>
      <c r="Q629" s="2387"/>
      <c r="R629" s="2387"/>
      <c r="S629" s="2387"/>
      <c r="T629" s="2387"/>
      <c r="U629" s="2387"/>
      <c r="V629" s="2387"/>
      <c r="W629" s="2387"/>
      <c r="X629" s="2387"/>
      <c r="Y629" s="2387"/>
      <c r="Z629" s="2387"/>
      <c r="AA629" s="2387"/>
      <c r="AB629" s="2387"/>
      <c r="AC629" s="2387"/>
      <c r="AD629" s="2387"/>
      <c r="AE629" s="2387"/>
      <c r="AF629" s="2387"/>
      <c r="AG629" s="2387"/>
      <c r="AH629" s="640"/>
      <c r="AI629" s="640"/>
      <c r="AJ629" s="640"/>
      <c r="AK629" s="640"/>
      <c r="AL629" s="640"/>
      <c r="AN629" s="595"/>
    </row>
    <row r="630" spans="1:42" s="549" customFormat="1" ht="12.75" customHeight="1">
      <c r="B630" s="536"/>
      <c r="C630" s="929"/>
      <c r="D630" s="640"/>
      <c r="E630" s="2387"/>
      <c r="F630" s="2387"/>
      <c r="G630" s="2387"/>
      <c r="H630" s="2387"/>
      <c r="I630" s="2387"/>
      <c r="J630" s="2387"/>
      <c r="K630" s="2387"/>
      <c r="L630" s="2387"/>
      <c r="M630" s="2387"/>
      <c r="N630" s="2387"/>
      <c r="O630" s="2387"/>
      <c r="P630" s="2387"/>
      <c r="Q630" s="2387"/>
      <c r="R630" s="2387"/>
      <c r="S630" s="2387"/>
      <c r="T630" s="2387"/>
      <c r="U630" s="2387"/>
      <c r="V630" s="2387"/>
      <c r="W630" s="2387"/>
      <c r="X630" s="2387"/>
      <c r="Y630" s="2387"/>
      <c r="Z630" s="2387"/>
      <c r="AA630" s="2387"/>
      <c r="AB630" s="2387"/>
      <c r="AC630" s="2387"/>
      <c r="AD630" s="2387"/>
      <c r="AE630" s="2387"/>
      <c r="AF630" s="2387"/>
      <c r="AG630" s="2387"/>
      <c r="AH630" s="640"/>
      <c r="AI630" s="640"/>
      <c r="AJ630" s="640"/>
      <c r="AK630" s="640"/>
      <c r="AL630" s="640"/>
      <c r="AN630" s="595"/>
    </row>
    <row r="631" spans="1:42" s="549" customFormat="1" ht="12.75" customHeight="1">
      <c r="B631" s="536"/>
      <c r="C631" s="929"/>
      <c r="D631" s="640"/>
      <c r="E631" s="2387"/>
      <c r="F631" s="2387"/>
      <c r="G631" s="2387"/>
      <c r="H631" s="2387"/>
      <c r="I631" s="2387"/>
      <c r="J631" s="2387"/>
      <c r="K631" s="2387"/>
      <c r="L631" s="2387"/>
      <c r="M631" s="2387"/>
      <c r="N631" s="2387"/>
      <c r="O631" s="2387"/>
      <c r="P631" s="2387"/>
      <c r="Q631" s="2387"/>
      <c r="R631" s="2387"/>
      <c r="S631" s="2387"/>
      <c r="T631" s="2387"/>
      <c r="U631" s="2387"/>
      <c r="V631" s="2387"/>
      <c r="W631" s="2387"/>
      <c r="X631" s="2387"/>
      <c r="Y631" s="2387"/>
      <c r="Z631" s="2387"/>
      <c r="AA631" s="2387"/>
      <c r="AB631" s="2387"/>
      <c r="AC631" s="2387"/>
      <c r="AD631" s="2387"/>
      <c r="AE631" s="2387"/>
      <c r="AF631" s="2387"/>
      <c r="AG631" s="2387"/>
      <c r="AH631" s="640"/>
      <c r="AI631" s="640"/>
      <c r="AJ631" s="640"/>
      <c r="AK631" s="640"/>
      <c r="AL631" s="640"/>
      <c r="AN631" s="595"/>
    </row>
    <row r="632" spans="1:42" s="549" customFormat="1" ht="12.75" customHeight="1">
      <c r="B632" s="536"/>
      <c r="C632" s="929"/>
      <c r="D632" s="640"/>
      <c r="E632" s="2387"/>
      <c r="F632" s="2387"/>
      <c r="G632" s="2387"/>
      <c r="H632" s="2387"/>
      <c r="I632" s="2387"/>
      <c r="J632" s="2387"/>
      <c r="K632" s="2387"/>
      <c r="L632" s="2387"/>
      <c r="M632" s="2387"/>
      <c r="N632" s="2387"/>
      <c r="O632" s="2387"/>
      <c r="P632" s="2387"/>
      <c r="Q632" s="2387"/>
      <c r="R632" s="2387"/>
      <c r="S632" s="2387"/>
      <c r="T632" s="2387"/>
      <c r="U632" s="2387"/>
      <c r="V632" s="2387"/>
      <c r="W632" s="2387"/>
      <c r="X632" s="2387"/>
      <c r="Y632" s="2387"/>
      <c r="Z632" s="2387"/>
      <c r="AA632" s="2387"/>
      <c r="AB632" s="2387"/>
      <c r="AC632" s="2387"/>
      <c r="AD632" s="2387"/>
      <c r="AE632" s="2387"/>
      <c r="AF632" s="2387"/>
      <c r="AG632" s="2387"/>
      <c r="AH632" s="640"/>
      <c r="AI632" s="640"/>
      <c r="AJ632" s="640"/>
      <c r="AK632" s="640"/>
      <c r="AL632" s="640"/>
      <c r="AN632" s="595"/>
    </row>
    <row r="633" spans="1:42" s="549" customFormat="1" ht="12.75" customHeight="1">
      <c r="B633" s="536"/>
      <c r="C633" s="929"/>
      <c r="D633" s="933"/>
      <c r="E633" s="953"/>
      <c r="F633" s="953"/>
      <c r="G633" s="953"/>
      <c r="H633" s="953"/>
      <c r="I633" s="953"/>
      <c r="J633" s="953"/>
      <c r="K633" s="953"/>
      <c r="L633" s="953"/>
      <c r="M633" s="953"/>
      <c r="N633" s="953"/>
      <c r="O633" s="953"/>
      <c r="P633" s="953"/>
      <c r="Q633" s="953"/>
      <c r="R633" s="953"/>
      <c r="S633" s="953"/>
      <c r="T633" s="953"/>
      <c r="U633" s="953"/>
      <c r="V633" s="953"/>
      <c r="W633" s="953"/>
      <c r="X633" s="953"/>
      <c r="Y633" s="953"/>
      <c r="Z633" s="953"/>
      <c r="AA633" s="953"/>
      <c r="AB633" s="953"/>
      <c r="AC633" s="953"/>
      <c r="AD633" s="953"/>
      <c r="AE633" s="953"/>
      <c r="AF633" s="953"/>
      <c r="AG633" s="953"/>
      <c r="AH633" s="933"/>
      <c r="AI633" s="933"/>
      <c r="AJ633" s="933"/>
      <c r="AK633" s="933"/>
      <c r="AL633" s="640"/>
      <c r="AN633" s="595"/>
    </row>
    <row r="634" spans="1:42" s="549" customFormat="1" ht="12.75" customHeight="1">
      <c r="A634" s="604"/>
      <c r="B634" s="599"/>
      <c r="C634" s="934"/>
      <c r="D634" s="599"/>
      <c r="E634" s="935"/>
      <c r="F634" s="935"/>
      <c r="G634" s="935"/>
      <c r="H634" s="935"/>
      <c r="I634" s="935"/>
      <c r="J634" s="935"/>
      <c r="K634" s="935"/>
      <c r="L634" s="935"/>
      <c r="M634" s="935"/>
      <c r="N634" s="935"/>
      <c r="O634" s="935"/>
      <c r="P634" s="935"/>
      <c r="Q634" s="935"/>
      <c r="R634" s="935"/>
      <c r="S634" s="935"/>
      <c r="T634" s="935"/>
      <c r="U634" s="935"/>
      <c r="V634" s="935"/>
      <c r="W634" s="935"/>
      <c r="X634" s="935"/>
      <c r="Y634" s="935"/>
      <c r="Z634" s="935"/>
      <c r="AA634" s="935"/>
      <c r="AB634" s="599"/>
      <c r="AC634" s="599"/>
      <c r="AD634" s="599"/>
      <c r="AE634" s="599"/>
      <c r="AF634" s="599"/>
      <c r="AG634" s="599"/>
      <c r="AH634" s="599"/>
      <c r="AI634" s="563" t="s">
        <v>1396</v>
      </c>
      <c r="AJ634" s="2390">
        <f>VLOOKUP($H$619,$AO$599:$AP$604,2,FALSE)+IF(R619=AO607,0,VLOOKUP($I$627,$AO$626:$AP$628,2,FALSE))</f>
        <v>4</v>
      </c>
      <c r="AK634" s="2391"/>
      <c r="AL634" s="593"/>
      <c r="AM634" s="671"/>
      <c r="AN634" s="595"/>
    </row>
    <row r="635" spans="1:42" s="549" customFormat="1" ht="12.75" customHeight="1">
      <c r="B635" s="536"/>
      <c r="C635" s="929"/>
      <c r="D635" s="536"/>
      <c r="E635" s="932"/>
      <c r="F635" s="932"/>
      <c r="G635" s="932"/>
      <c r="H635" s="932"/>
      <c r="I635" s="932"/>
      <c r="J635" s="932"/>
      <c r="K635" s="932"/>
      <c r="L635" s="932"/>
      <c r="M635" s="932"/>
      <c r="N635" s="932"/>
      <c r="O635" s="932"/>
      <c r="P635" s="932"/>
      <c r="Q635" s="932"/>
      <c r="R635" s="932"/>
      <c r="S635" s="932"/>
      <c r="T635" s="932"/>
      <c r="U635" s="932"/>
      <c r="V635" s="932"/>
      <c r="W635" s="932"/>
      <c r="X635" s="932"/>
      <c r="Y635" s="932"/>
      <c r="Z635" s="932"/>
      <c r="AA635" s="932"/>
      <c r="AB635" s="932"/>
      <c r="AC635" s="536"/>
      <c r="AD635" s="536"/>
      <c r="AE635" s="932"/>
      <c r="AF635" s="932"/>
      <c r="AG635" s="932"/>
      <c r="AH635" s="932"/>
      <c r="AI635" s="932"/>
      <c r="AJ635" s="932"/>
      <c r="AK635" s="932"/>
      <c r="AL635" s="932"/>
      <c r="AM635" s="671"/>
      <c r="AN635" s="595"/>
    </row>
    <row r="636" spans="1:42" s="549" customFormat="1" ht="12.75" customHeight="1">
      <c r="B636" s="536"/>
      <c r="C636" s="539" t="s">
        <v>1397</v>
      </c>
      <c r="D636" s="539"/>
      <c r="E636" s="932"/>
      <c r="F636" s="932"/>
      <c r="G636" s="932"/>
      <c r="H636" s="932"/>
      <c r="I636" s="932"/>
      <c r="J636" s="932"/>
      <c r="K636" s="932"/>
      <c r="L636" s="932"/>
      <c r="M636" s="932"/>
      <c r="N636" s="932"/>
      <c r="O636" s="932"/>
      <c r="P636" s="932"/>
      <c r="Q636" s="932"/>
      <c r="R636" s="932"/>
      <c r="S636" s="932"/>
      <c r="T636" s="932"/>
      <c r="U636" s="932"/>
      <c r="V636" s="932"/>
      <c r="W636" s="932"/>
      <c r="X636" s="932"/>
      <c r="Y636" s="932"/>
      <c r="Z636" s="932"/>
      <c r="AA636" s="932"/>
      <c r="AB636" s="932"/>
      <c r="AC636" s="536"/>
      <c r="AD636" s="536"/>
      <c r="AE636" s="536"/>
      <c r="AF636" s="536"/>
      <c r="AG636" s="536"/>
      <c r="AH636" s="536"/>
      <c r="AI636" s="536"/>
      <c r="AJ636" s="536"/>
      <c r="AK636" s="536"/>
      <c r="AL636" s="536"/>
      <c r="AN636" s="595"/>
    </row>
    <row r="637" spans="1:42" s="549" customFormat="1" ht="12.75" customHeight="1">
      <c r="B637" s="608"/>
      <c r="C637" s="536"/>
      <c r="D637" s="931"/>
      <c r="E637" s="932"/>
      <c r="F637" s="932"/>
      <c r="G637" s="932"/>
      <c r="H637" s="932"/>
      <c r="I637" s="932"/>
      <c r="J637" s="932"/>
      <c r="K637" s="932"/>
      <c r="L637" s="932"/>
      <c r="M637" s="932"/>
      <c r="N637" s="932"/>
      <c r="O637" s="932"/>
      <c r="P637" s="932"/>
      <c r="Q637" s="932"/>
      <c r="R637" s="932"/>
      <c r="S637" s="932"/>
      <c r="T637" s="932"/>
      <c r="U637" s="932"/>
      <c r="V637" s="932"/>
      <c r="W637" s="932"/>
      <c r="X637" s="932"/>
      <c r="Y637" s="932"/>
      <c r="Z637" s="932"/>
      <c r="AA637" s="932"/>
      <c r="AB637" s="932"/>
      <c r="AC637" s="536"/>
      <c r="AD637" s="536"/>
      <c r="AE637" s="536"/>
      <c r="AF637" s="536"/>
      <c r="AG637" s="536"/>
      <c r="AH637" s="536"/>
      <c r="AI637" s="536"/>
      <c r="AJ637" s="536"/>
      <c r="AK637" s="536"/>
      <c r="AL637" s="536"/>
      <c r="AN637" s="595"/>
    </row>
    <row r="638" spans="1:42" s="594" customFormat="1" ht="12.75" customHeight="1">
      <c r="A638" s="549"/>
      <c r="B638" s="536"/>
      <c r="C638" s="536"/>
      <c r="D638" s="659" t="s">
        <v>687</v>
      </c>
      <c r="E638" s="2531" t="s">
        <v>1683</v>
      </c>
      <c r="F638" s="2531"/>
      <c r="G638" s="2531"/>
      <c r="H638" s="2531"/>
      <c r="I638" s="2531"/>
      <c r="J638" s="2531"/>
      <c r="K638" s="2531"/>
      <c r="L638" s="2531"/>
      <c r="M638" s="2531"/>
      <c r="N638" s="2531"/>
      <c r="O638" s="2531"/>
      <c r="P638" s="2531"/>
      <c r="Q638" s="2531"/>
      <c r="R638" s="2531"/>
      <c r="S638" s="2531"/>
      <c r="T638" s="2531"/>
      <c r="U638" s="2531"/>
      <c r="V638" s="2531"/>
      <c r="W638" s="2531"/>
      <c r="X638" s="2531"/>
      <c r="Y638" s="2531"/>
      <c r="Z638" s="2531"/>
      <c r="AA638" s="2531"/>
      <c r="AB638" s="2531"/>
      <c r="AC638" s="2531"/>
      <c r="AD638" s="2531"/>
      <c r="AE638" s="539"/>
      <c r="AF638" s="2388" t="s">
        <v>1346</v>
      </c>
      <c r="AG638" s="2388"/>
      <c r="AH638" s="2388"/>
      <c r="AI638" s="2388"/>
      <c r="AJ638" s="2388"/>
      <c r="AK638" s="2388"/>
      <c r="AL638" s="2388"/>
      <c r="AM638" s="549"/>
      <c r="AN638" s="674"/>
    </row>
    <row r="639" spans="1:42" s="549" customFormat="1" ht="12.75" customHeight="1">
      <c r="A639" s="675"/>
      <c r="B639" s="536"/>
      <c r="C639" s="929"/>
      <c r="D639" s="659"/>
      <c r="E639" s="2531"/>
      <c r="F639" s="2531"/>
      <c r="G639" s="2531"/>
      <c r="H639" s="2531"/>
      <c r="I639" s="2531"/>
      <c r="J639" s="2531"/>
      <c r="K639" s="2531"/>
      <c r="L639" s="2531"/>
      <c r="M639" s="2531"/>
      <c r="N639" s="2531"/>
      <c r="O639" s="2531"/>
      <c r="P639" s="2531"/>
      <c r="Q639" s="2531"/>
      <c r="R639" s="2531"/>
      <c r="S639" s="2531"/>
      <c r="T639" s="2531"/>
      <c r="U639" s="2531"/>
      <c r="V639" s="2531"/>
      <c r="W639" s="2531"/>
      <c r="X639" s="2531"/>
      <c r="Y639" s="2531"/>
      <c r="Z639" s="2531"/>
      <c r="AA639" s="2531"/>
      <c r="AB639" s="2531"/>
      <c r="AC639" s="2531"/>
      <c r="AD639" s="2531"/>
      <c r="AE639" s="536"/>
      <c r="AF639" s="536"/>
      <c r="AG639" s="536"/>
      <c r="AH639" s="536"/>
      <c r="AI639" s="536"/>
      <c r="AJ639" s="536"/>
      <c r="AK639" s="536"/>
      <c r="AL639" s="536"/>
      <c r="AN639" s="595"/>
    </row>
    <row r="640" spans="1:42" s="549" customFormat="1" ht="12.75" customHeight="1">
      <c r="B640" s="536"/>
      <c r="C640" s="927"/>
      <c r="D640" s="659"/>
      <c r="E640" s="2531"/>
      <c r="F640" s="2531"/>
      <c r="G640" s="2531"/>
      <c r="H640" s="2531"/>
      <c r="I640" s="2531"/>
      <c r="J640" s="2531"/>
      <c r="K640" s="2531"/>
      <c r="L640" s="2531"/>
      <c r="M640" s="2531"/>
      <c r="N640" s="2531"/>
      <c r="O640" s="2531"/>
      <c r="P640" s="2531"/>
      <c r="Q640" s="2531"/>
      <c r="R640" s="2531"/>
      <c r="S640" s="2531"/>
      <c r="T640" s="2531"/>
      <c r="U640" s="2531"/>
      <c r="V640" s="2531"/>
      <c r="W640" s="2531"/>
      <c r="X640" s="2531"/>
      <c r="Y640" s="2531"/>
      <c r="Z640" s="2531"/>
      <c r="AA640" s="2531"/>
      <c r="AB640" s="2531"/>
      <c r="AC640" s="2531"/>
      <c r="AD640" s="2531"/>
      <c r="AE640" s="536"/>
      <c r="AF640" s="536"/>
      <c r="AG640" s="536"/>
      <c r="AH640" s="536"/>
      <c r="AI640" s="536"/>
      <c r="AJ640" s="536"/>
      <c r="AK640" s="536"/>
      <c r="AL640" s="536"/>
      <c r="AN640" s="595"/>
    </row>
    <row r="641" spans="1:42" s="549" customFormat="1" ht="12.75" customHeight="1">
      <c r="B641" s="536"/>
      <c r="C641" s="927"/>
      <c r="D641" s="659"/>
      <c r="E641" s="2531"/>
      <c r="F641" s="2531"/>
      <c r="G641" s="2531"/>
      <c r="H641" s="2531"/>
      <c r="I641" s="2531"/>
      <c r="J641" s="2531"/>
      <c r="K641" s="2531"/>
      <c r="L641" s="2531"/>
      <c r="M641" s="2531"/>
      <c r="N641" s="2531"/>
      <c r="O641" s="2531"/>
      <c r="P641" s="2531"/>
      <c r="Q641" s="2531"/>
      <c r="R641" s="2531"/>
      <c r="S641" s="2531"/>
      <c r="T641" s="2531"/>
      <c r="U641" s="2531"/>
      <c r="V641" s="2531"/>
      <c r="W641" s="2531"/>
      <c r="X641" s="2531"/>
      <c r="Y641" s="2531"/>
      <c r="Z641" s="2531"/>
      <c r="AA641" s="2531"/>
      <c r="AB641" s="2531"/>
      <c r="AC641" s="2531"/>
      <c r="AD641" s="2531"/>
      <c r="AE641" s="536"/>
      <c r="AF641" s="536"/>
      <c r="AG641" s="536"/>
      <c r="AH641" s="536"/>
      <c r="AI641" s="536"/>
      <c r="AJ641" s="536"/>
      <c r="AK641" s="536"/>
      <c r="AL641" s="536"/>
      <c r="AN641" s="595"/>
    </row>
    <row r="642" spans="1:42" s="549" customFormat="1" ht="12.75" customHeight="1">
      <c r="B642" s="536"/>
      <c r="C642" s="927"/>
      <c r="D642" s="659"/>
      <c r="E642" s="2531"/>
      <c r="F642" s="2531"/>
      <c r="G642" s="2531"/>
      <c r="H642" s="2531"/>
      <c r="I642" s="2531"/>
      <c r="J642" s="2531"/>
      <c r="K642" s="2531"/>
      <c r="L642" s="2531"/>
      <c r="M642" s="2531"/>
      <c r="N642" s="2531"/>
      <c r="O642" s="2531"/>
      <c r="P642" s="2531"/>
      <c r="Q642" s="2531"/>
      <c r="R642" s="2531"/>
      <c r="S642" s="2531"/>
      <c r="T642" s="2531"/>
      <c r="U642" s="2531"/>
      <c r="V642" s="2531"/>
      <c r="W642" s="2531"/>
      <c r="X642" s="2531"/>
      <c r="Y642" s="2531"/>
      <c r="Z642" s="2531"/>
      <c r="AA642" s="2531"/>
      <c r="AB642" s="2531"/>
      <c r="AC642" s="2531"/>
      <c r="AD642" s="2531"/>
      <c r="AE642" s="536"/>
      <c r="AF642" s="536"/>
      <c r="AG642" s="536"/>
      <c r="AH642" s="536"/>
      <c r="AI642" s="536"/>
      <c r="AJ642" s="536"/>
      <c r="AK642" s="536"/>
      <c r="AL642" s="536"/>
      <c r="AN642" s="595"/>
    </row>
    <row r="643" spans="1:42" s="549" customFormat="1" ht="12.75" customHeight="1">
      <c r="B643" s="536"/>
      <c r="C643" s="927"/>
      <c r="D643" s="659"/>
      <c r="E643" s="2531"/>
      <c r="F643" s="2531"/>
      <c r="G643" s="2531"/>
      <c r="H643" s="2531"/>
      <c r="I643" s="2531"/>
      <c r="J643" s="2531"/>
      <c r="K643" s="2531"/>
      <c r="L643" s="2531"/>
      <c r="M643" s="2531"/>
      <c r="N643" s="2531"/>
      <c r="O643" s="2531"/>
      <c r="P643" s="2531"/>
      <c r="Q643" s="2531"/>
      <c r="R643" s="2531"/>
      <c r="S643" s="2531"/>
      <c r="T643" s="2531"/>
      <c r="U643" s="2531"/>
      <c r="V643" s="2531"/>
      <c r="W643" s="2531"/>
      <c r="X643" s="2531"/>
      <c r="Y643" s="2531"/>
      <c r="Z643" s="2531"/>
      <c r="AA643" s="2531"/>
      <c r="AB643" s="2531"/>
      <c r="AC643" s="2531"/>
      <c r="AD643" s="2531"/>
      <c r="AE643" s="536"/>
      <c r="AF643" s="536"/>
      <c r="AG643" s="536"/>
      <c r="AH643" s="536"/>
      <c r="AI643" s="536"/>
      <c r="AJ643" s="536"/>
      <c r="AK643" s="536"/>
      <c r="AL643" s="536"/>
      <c r="AN643" s="595"/>
    </row>
    <row r="644" spans="1:42" s="549" customFormat="1" ht="12.75" customHeight="1">
      <c r="A644" s="635"/>
      <c r="B644" s="614"/>
      <c r="C644" s="936"/>
      <c r="D644" s="659"/>
      <c r="E644" s="2531"/>
      <c r="F644" s="2531"/>
      <c r="G644" s="2531"/>
      <c r="H644" s="2531"/>
      <c r="I644" s="2531"/>
      <c r="J644" s="2531"/>
      <c r="K644" s="2531"/>
      <c r="L644" s="2531"/>
      <c r="M644" s="2531"/>
      <c r="N644" s="2531"/>
      <c r="O644" s="2531"/>
      <c r="P644" s="2531"/>
      <c r="Q644" s="2531"/>
      <c r="R644" s="2531"/>
      <c r="S644" s="2531"/>
      <c r="T644" s="2531"/>
      <c r="U644" s="2531"/>
      <c r="V644" s="2531"/>
      <c r="W644" s="2531"/>
      <c r="X644" s="2531"/>
      <c r="Y644" s="2531"/>
      <c r="Z644" s="2531"/>
      <c r="AA644" s="2531"/>
      <c r="AB644" s="2531"/>
      <c r="AC644" s="2531"/>
      <c r="AD644" s="2531"/>
      <c r="AE644" s="614"/>
      <c r="AF644" s="614"/>
      <c r="AG644" s="614"/>
      <c r="AH644" s="614"/>
      <c r="AI644" s="614"/>
      <c r="AJ644" s="614"/>
      <c r="AK644" s="536"/>
      <c r="AL644" s="536"/>
      <c r="AN644" s="595"/>
    </row>
    <row r="645" spans="1:42" s="549" customFormat="1" ht="12.75" customHeight="1">
      <c r="B645" s="614"/>
      <c r="C645" s="936"/>
      <c r="D645" s="659"/>
      <c r="E645" s="2531"/>
      <c r="F645" s="2531"/>
      <c r="G645" s="2531"/>
      <c r="H645" s="2531"/>
      <c r="I645" s="2531"/>
      <c r="J645" s="2531"/>
      <c r="K645" s="2531"/>
      <c r="L645" s="2531"/>
      <c r="M645" s="2531"/>
      <c r="N645" s="2531"/>
      <c r="O645" s="2531"/>
      <c r="P645" s="2531"/>
      <c r="Q645" s="2531"/>
      <c r="R645" s="2531"/>
      <c r="S645" s="2531"/>
      <c r="T645" s="2531"/>
      <c r="U645" s="2531"/>
      <c r="V645" s="2531"/>
      <c r="W645" s="2531"/>
      <c r="X645" s="2531"/>
      <c r="Y645" s="2531"/>
      <c r="Z645" s="2531"/>
      <c r="AA645" s="2531"/>
      <c r="AB645" s="2531"/>
      <c r="AC645" s="2531"/>
      <c r="AD645" s="2531"/>
      <c r="AE645" s="614"/>
      <c r="AF645" s="614"/>
      <c r="AG645" s="614"/>
      <c r="AH645" s="614"/>
      <c r="AI645" s="614"/>
      <c r="AJ645" s="614"/>
      <c r="AK645" s="536"/>
      <c r="AL645" s="536"/>
      <c r="AN645" s="595"/>
    </row>
    <row r="646" spans="1:42" s="549" customFormat="1" ht="12" customHeight="1">
      <c r="B646" s="614"/>
      <c r="C646" s="936"/>
      <c r="D646" s="659"/>
      <c r="E646" s="952"/>
      <c r="F646" s="952"/>
      <c r="G646" s="952"/>
      <c r="H646" s="952"/>
      <c r="I646" s="952"/>
      <c r="J646" s="952"/>
      <c r="K646" s="952"/>
      <c r="L646" s="952"/>
      <c r="M646" s="952"/>
      <c r="N646" s="952"/>
      <c r="O646" s="952"/>
      <c r="P646" s="952"/>
      <c r="Q646" s="952"/>
      <c r="R646" s="952"/>
      <c r="S646" s="952"/>
      <c r="T646" s="952"/>
      <c r="U646" s="952"/>
      <c r="V646" s="952"/>
      <c r="W646" s="952"/>
      <c r="X646" s="952"/>
      <c r="Y646" s="952"/>
      <c r="Z646" s="952"/>
      <c r="AA646" s="952"/>
      <c r="AB646" s="952"/>
      <c r="AC646" s="952"/>
      <c r="AD646" s="952"/>
      <c r="AE646" s="614"/>
      <c r="AF646" s="614"/>
      <c r="AG646" s="614"/>
      <c r="AH646" s="614"/>
      <c r="AI646" s="614"/>
      <c r="AJ646" s="614"/>
      <c r="AK646" s="536"/>
      <c r="AL646" s="536"/>
      <c r="AN646" s="595"/>
      <c r="AO646" s="549" t="s">
        <v>591</v>
      </c>
      <c r="AP646" s="669">
        <v>0</v>
      </c>
    </row>
    <row r="647" spans="1:42" s="549" customFormat="1" ht="12.75" customHeight="1">
      <c r="B647" s="614"/>
      <c r="C647" s="927"/>
      <c r="D647" s="659"/>
      <c r="E647" s="614" t="s">
        <v>1398</v>
      </c>
      <c r="F647" s="937"/>
      <c r="G647" s="937"/>
      <c r="H647" s="937"/>
      <c r="I647" s="937"/>
      <c r="J647" s="937"/>
      <c r="K647" s="937"/>
      <c r="L647" s="937"/>
      <c r="M647" s="937"/>
      <c r="N647" s="937"/>
      <c r="O647" s="937"/>
      <c r="P647" s="937"/>
      <c r="Q647" s="937"/>
      <c r="R647" s="937"/>
      <c r="U647" s="937"/>
      <c r="V647" s="937"/>
      <c r="W647" s="937"/>
      <c r="X647" s="2395" t="s">
        <v>591</v>
      </c>
      <c r="Y647" s="2395"/>
      <c r="Z647" s="937"/>
      <c r="AA647" s="937"/>
      <c r="AB647" s="937"/>
      <c r="AC647" s="937"/>
      <c r="AD647" s="937"/>
      <c r="AE647" s="536"/>
      <c r="AF647" s="614"/>
      <c r="AG647" s="614"/>
      <c r="AH647" s="614"/>
      <c r="AI647" s="614"/>
      <c r="AJ647" s="614"/>
      <c r="AK647" s="536"/>
      <c r="AL647" s="536"/>
      <c r="AN647" s="595"/>
      <c r="AO647" s="609" t="s">
        <v>687</v>
      </c>
      <c r="AP647" s="549">
        <v>5</v>
      </c>
    </row>
    <row r="648" spans="1:42" s="549" customFormat="1" ht="12.75" customHeight="1">
      <c r="B648" s="614"/>
      <c r="C648" s="936"/>
      <c r="D648" s="536"/>
      <c r="E648" s="536"/>
      <c r="F648" s="536"/>
      <c r="G648" s="536"/>
      <c r="H648" s="536"/>
      <c r="I648" s="536"/>
      <c r="J648" s="536"/>
      <c r="K648" s="536"/>
      <c r="L648" s="536"/>
      <c r="M648" s="536"/>
      <c r="N648" s="536"/>
      <c r="O648" s="536"/>
      <c r="P648" s="536"/>
      <c r="Q648" s="536"/>
      <c r="R648" s="536"/>
      <c r="S648" s="536"/>
      <c r="T648" s="536"/>
      <c r="U648" s="536"/>
      <c r="V648" s="536"/>
      <c r="W648" s="614"/>
      <c r="X648" s="614"/>
      <c r="Y648" s="614"/>
      <c r="Z648" s="614"/>
      <c r="AA648" s="614"/>
      <c r="AB648" s="614"/>
      <c r="AC648" s="536"/>
      <c r="AD648" s="536"/>
      <c r="AE648" s="536"/>
      <c r="AF648" s="536"/>
      <c r="AG648" s="536"/>
      <c r="AH648" s="536"/>
      <c r="AI648" s="536"/>
      <c r="AJ648" s="536"/>
      <c r="AK648" s="536"/>
      <c r="AL648" s="536"/>
      <c r="AN648" s="595"/>
      <c r="AO648" s="609" t="s">
        <v>509</v>
      </c>
      <c r="AP648" s="676">
        <v>4</v>
      </c>
    </row>
    <row r="649" spans="1:42" s="549" customFormat="1" ht="12.75" customHeight="1">
      <c r="B649" s="536"/>
      <c r="C649" s="927"/>
      <c r="D649" s="659" t="s">
        <v>509</v>
      </c>
      <c r="E649" s="553" t="s">
        <v>1399</v>
      </c>
      <c r="F649" s="938"/>
      <c r="G649" s="938"/>
      <c r="H649" s="938"/>
      <c r="I649" s="938"/>
      <c r="J649" s="938"/>
      <c r="K649" s="938"/>
      <c r="L649" s="938"/>
      <c r="M649" s="938"/>
      <c r="N649" s="938"/>
      <c r="O649" s="938"/>
      <c r="P649" s="938"/>
      <c r="Q649" s="938"/>
      <c r="R649" s="938"/>
      <c r="S649" s="938"/>
      <c r="T649" s="938"/>
      <c r="U649" s="536"/>
      <c r="V649" s="536"/>
      <c r="W649" s="938"/>
      <c r="X649" s="938"/>
      <c r="Y649" s="938"/>
      <c r="Z649" s="938"/>
      <c r="AA649" s="938"/>
      <c r="AB649" s="938"/>
      <c r="AC649" s="536"/>
      <c r="AD649" s="536"/>
      <c r="AE649" s="536"/>
      <c r="AF649" s="2388" t="s">
        <v>1400</v>
      </c>
      <c r="AG649" s="2388"/>
      <c r="AH649" s="2388"/>
      <c r="AI649" s="2388"/>
      <c r="AJ649" s="2388"/>
      <c r="AK649" s="2388"/>
      <c r="AL649" s="2388"/>
      <c r="AN649" s="595"/>
      <c r="AO649" s="609" t="s">
        <v>278</v>
      </c>
      <c r="AP649" s="549">
        <v>3</v>
      </c>
    </row>
    <row r="650" spans="1:42" s="549" customFormat="1" ht="12.75" customHeight="1">
      <c r="B650" s="536"/>
      <c r="C650" s="927"/>
      <c r="D650" s="536"/>
      <c r="E650" s="536"/>
      <c r="F650" s="938"/>
      <c r="G650" s="938"/>
      <c r="H650" s="938"/>
      <c r="I650" s="938"/>
      <c r="J650" s="938"/>
      <c r="K650" s="938"/>
      <c r="L650" s="938"/>
      <c r="M650" s="938"/>
      <c r="N650" s="938"/>
      <c r="O650" s="938"/>
      <c r="P650" s="938"/>
      <c r="Q650" s="938"/>
      <c r="R650" s="938"/>
      <c r="S650" s="938"/>
      <c r="T650" s="938"/>
      <c r="U650" s="536"/>
      <c r="V650" s="536"/>
      <c r="W650" s="536"/>
      <c r="X650" s="938"/>
      <c r="Y650" s="938"/>
      <c r="Z650" s="938"/>
      <c r="AA650" s="938"/>
      <c r="AB650" s="938"/>
      <c r="AC650" s="536"/>
      <c r="AD650" s="536"/>
      <c r="AE650" s="536"/>
      <c r="AF650" s="536"/>
      <c r="AG650" s="536"/>
      <c r="AH650" s="536"/>
      <c r="AI650" s="536"/>
      <c r="AJ650" s="536"/>
      <c r="AK650" s="536"/>
      <c r="AL650" s="536"/>
      <c r="AN650" s="595"/>
      <c r="AO650" s="609" t="s">
        <v>1389</v>
      </c>
      <c r="AP650" s="676">
        <v>4</v>
      </c>
    </row>
    <row r="651" spans="1:42" s="549" customFormat="1" ht="12.75" customHeight="1">
      <c r="B651" s="536"/>
      <c r="C651" s="927"/>
      <c r="D651" s="536" t="s">
        <v>1392</v>
      </c>
      <c r="E651" s="932"/>
      <c r="F651" s="932"/>
      <c r="G651" s="932"/>
      <c r="H651" s="2389" t="s">
        <v>509</v>
      </c>
      <c r="I651" s="2389"/>
      <c r="J651" s="938"/>
      <c r="K651" s="938"/>
      <c r="L651" s="938"/>
      <c r="M651" s="938"/>
      <c r="N651" s="938"/>
      <c r="O651" s="938"/>
      <c r="P651" s="938"/>
      <c r="Q651" s="938"/>
      <c r="R651" s="938"/>
      <c r="S651" s="938"/>
      <c r="T651" s="938"/>
      <c r="U651" s="932"/>
      <c r="V651" s="932"/>
      <c r="W651" s="932"/>
      <c r="X651" s="536"/>
      <c r="Y651" s="536"/>
      <c r="Z651" s="536"/>
      <c r="AA651" s="536"/>
      <c r="AB651" s="536"/>
      <c r="AC651" s="536"/>
      <c r="AD651" s="536"/>
      <c r="AE651" s="536"/>
      <c r="AF651" s="536"/>
      <c r="AG651" s="536"/>
      <c r="AH651" s="536"/>
      <c r="AI651" s="536"/>
      <c r="AJ651" s="536"/>
      <c r="AK651" s="536"/>
      <c r="AL651" s="536"/>
      <c r="AN651" s="595"/>
      <c r="AO651" s="609" t="s">
        <v>1390</v>
      </c>
      <c r="AP651" s="549">
        <v>3</v>
      </c>
    </row>
    <row r="652" spans="1:42" s="549" customFormat="1" ht="12.75" customHeight="1">
      <c r="B652" s="536"/>
      <c r="C652" s="927"/>
      <c r="D652" s="536"/>
      <c r="E652" s="932"/>
      <c r="F652" s="938"/>
      <c r="G652" s="938"/>
      <c r="H652" s="938"/>
      <c r="I652" s="939"/>
      <c r="J652" s="938"/>
      <c r="K652" s="938"/>
      <c r="L652" s="938"/>
      <c r="M652" s="938"/>
      <c r="N652" s="938"/>
      <c r="O652" s="938"/>
      <c r="P652" s="938"/>
      <c r="Q652" s="938"/>
      <c r="R652" s="536"/>
      <c r="S652" s="536"/>
      <c r="T652" s="938"/>
      <c r="U652" s="932"/>
      <c r="V652" s="932"/>
      <c r="W652" s="932"/>
      <c r="X652" s="932"/>
      <c r="Y652" s="932"/>
      <c r="Z652" s="932"/>
      <c r="AA652" s="932"/>
      <c r="AB652" s="932"/>
      <c r="AC652" s="536"/>
      <c r="AD652" s="536"/>
      <c r="AE652" s="536"/>
      <c r="AF652" s="536"/>
      <c r="AG652" s="536"/>
      <c r="AH652" s="536"/>
      <c r="AI652" s="938"/>
      <c r="AJ652" s="938"/>
      <c r="AK652" s="938"/>
      <c r="AL652" s="938"/>
      <c r="AM652" s="677"/>
      <c r="AN652" s="595"/>
      <c r="AO652" s="609" t="s">
        <v>1401</v>
      </c>
      <c r="AP652" s="549">
        <v>2</v>
      </c>
    </row>
    <row r="653" spans="1:42" s="549" customFormat="1" ht="12.75" customHeight="1">
      <c r="A653" s="604"/>
      <c r="B653" s="599"/>
      <c r="C653" s="940"/>
      <c r="D653" s="599"/>
      <c r="E653" s="935"/>
      <c r="F653" s="935"/>
      <c r="G653" s="941"/>
      <c r="H653" s="941"/>
      <c r="I653" s="941"/>
      <c r="J653" s="941"/>
      <c r="K653" s="941"/>
      <c r="L653" s="941"/>
      <c r="M653" s="941"/>
      <c r="N653" s="941"/>
      <c r="O653" s="941"/>
      <c r="P653" s="941"/>
      <c r="Q653" s="941"/>
      <c r="R653" s="941"/>
      <c r="S653" s="941"/>
      <c r="T653" s="935"/>
      <c r="U653" s="935"/>
      <c r="V653" s="935"/>
      <c r="W653" s="935"/>
      <c r="X653" s="935"/>
      <c r="Y653" s="935"/>
      <c r="Z653" s="935"/>
      <c r="AA653" s="935"/>
      <c r="AB653" s="599"/>
      <c r="AC653" s="599"/>
      <c r="AD653" s="599"/>
      <c r="AE653" s="599"/>
      <c r="AF653" s="599"/>
      <c r="AG653" s="599"/>
      <c r="AH653" s="599"/>
      <c r="AI653" s="563" t="s">
        <v>1402</v>
      </c>
      <c r="AJ653" s="2390">
        <f>VLOOKUP($H$651,$AO$618:$AP$620,2,FALSE)</f>
        <v>2</v>
      </c>
      <c r="AK653" s="2391"/>
      <c r="AL653" s="593"/>
      <c r="AN653" s="595"/>
      <c r="AO653" s="609" t="s">
        <v>1403</v>
      </c>
      <c r="AP653" s="549">
        <v>1</v>
      </c>
    </row>
    <row r="654" spans="1:42" s="549" customFormat="1" ht="12.75" customHeight="1">
      <c r="B654" s="536"/>
      <c r="C654" s="927"/>
      <c r="D654" s="536"/>
      <c r="E654" s="932"/>
      <c r="F654" s="932"/>
      <c r="G654" s="932"/>
      <c r="H654" s="536"/>
      <c r="I654" s="536"/>
      <c r="J654" s="938"/>
      <c r="K654" s="938"/>
      <c r="L654" s="938"/>
      <c r="M654" s="938"/>
      <c r="N654" s="938"/>
      <c r="O654" s="938"/>
      <c r="P654" s="938"/>
      <c r="Q654" s="938"/>
      <c r="R654" s="938"/>
      <c r="S654" s="938"/>
      <c r="T654" s="938"/>
      <c r="U654" s="932"/>
      <c r="V654" s="932"/>
      <c r="W654" s="932"/>
      <c r="X654" s="932"/>
      <c r="Y654" s="932"/>
      <c r="Z654" s="932"/>
      <c r="AA654" s="932"/>
      <c r="AB654" s="932"/>
      <c r="AC654" s="536"/>
      <c r="AD654" s="536"/>
      <c r="AE654" s="536"/>
      <c r="AF654" s="536"/>
      <c r="AG654" s="536"/>
      <c r="AH654" s="536"/>
      <c r="AI654" s="536"/>
      <c r="AJ654" s="543"/>
      <c r="AK654" s="536"/>
      <c r="AL654" s="536"/>
      <c r="AN654" s="595"/>
    </row>
    <row r="655" spans="1:42" s="549" customFormat="1" ht="12.75" customHeight="1">
      <c r="B655" s="536"/>
      <c r="C655" s="539" t="s">
        <v>1404</v>
      </c>
      <c r="D655" s="536"/>
      <c r="E655" s="932"/>
      <c r="F655" s="938"/>
      <c r="G655" s="938"/>
      <c r="H655" s="938"/>
      <c r="I655" s="938"/>
      <c r="J655" s="938"/>
      <c r="K655" s="938"/>
      <c r="L655" s="938"/>
      <c r="M655" s="938"/>
      <c r="N655" s="938"/>
      <c r="O655" s="938"/>
      <c r="P655" s="938"/>
      <c r="Q655" s="938"/>
      <c r="R655" s="938"/>
      <c r="S655" s="938"/>
      <c r="T655" s="938"/>
      <c r="U655" s="536"/>
      <c r="V655" s="536"/>
      <c r="W655" s="938"/>
      <c r="X655" s="938"/>
      <c r="Y655" s="938"/>
      <c r="Z655" s="938"/>
      <c r="AA655" s="938"/>
      <c r="AB655" s="938"/>
      <c r="AC655" s="592"/>
      <c r="AD655" s="592"/>
      <c r="AE655" s="592"/>
      <c r="AF655" s="592"/>
      <c r="AG655" s="592"/>
      <c r="AH655" s="592"/>
      <c r="AI655" s="592"/>
      <c r="AJ655" s="536"/>
      <c r="AK655" s="536"/>
      <c r="AL655" s="536"/>
      <c r="AN655" s="595"/>
    </row>
    <row r="656" spans="1:42" s="549" customFormat="1" ht="12.75" customHeight="1">
      <c r="A656" s="635"/>
      <c r="B656" s="536"/>
      <c r="C656" s="929"/>
      <c r="D656" s="536"/>
      <c r="E656" s="938"/>
      <c r="F656" s="938"/>
      <c r="G656" s="938"/>
      <c r="H656" s="938"/>
      <c r="I656" s="938"/>
      <c r="J656" s="938"/>
      <c r="K656" s="938"/>
      <c r="L656" s="938"/>
      <c r="M656" s="938"/>
      <c r="N656" s="938"/>
      <c r="O656" s="938"/>
      <c r="P656" s="938"/>
      <c r="Q656" s="938"/>
      <c r="R656" s="938"/>
      <c r="S656" s="938"/>
      <c r="T656" s="938"/>
      <c r="U656" s="938"/>
      <c r="V656" s="938"/>
      <c r="W656" s="938"/>
      <c r="X656" s="938"/>
      <c r="Y656" s="938"/>
      <c r="Z656" s="938"/>
      <c r="AA656" s="938"/>
      <c r="AB656" s="938"/>
      <c r="AC656" s="536"/>
      <c r="AD656" s="536"/>
      <c r="AE656" s="536"/>
      <c r="AF656" s="536"/>
      <c r="AG656" s="536"/>
      <c r="AH656" s="536"/>
      <c r="AI656" s="536"/>
      <c r="AJ656" s="536"/>
      <c r="AK656" s="536"/>
      <c r="AL656" s="536"/>
      <c r="AN656" s="595"/>
    </row>
    <row r="657" spans="1:42" s="549" customFormat="1" ht="12.75" customHeight="1">
      <c r="B657" s="536"/>
      <c r="C657" s="536"/>
      <c r="D657" s="659" t="s">
        <v>687</v>
      </c>
      <c r="E657" s="2387" t="s">
        <v>2052</v>
      </c>
      <c r="F657" s="2387"/>
      <c r="G657" s="2387"/>
      <c r="H657" s="2387"/>
      <c r="I657" s="2387"/>
      <c r="J657" s="2387"/>
      <c r="K657" s="2387"/>
      <c r="L657" s="2387"/>
      <c r="M657" s="2387"/>
      <c r="N657" s="2387"/>
      <c r="O657" s="2387"/>
      <c r="P657" s="2387"/>
      <c r="Q657" s="2387"/>
      <c r="R657" s="2387"/>
      <c r="S657" s="2387"/>
      <c r="T657" s="2387"/>
      <c r="U657" s="2387"/>
      <c r="V657" s="2387"/>
      <c r="W657" s="2387"/>
      <c r="X657" s="2387"/>
      <c r="Y657" s="2387"/>
      <c r="Z657" s="2387"/>
      <c r="AA657" s="2387"/>
      <c r="AB657" s="2387"/>
      <c r="AC657" s="2387"/>
      <c r="AD657" s="2387"/>
      <c r="AE657" s="536"/>
      <c r="AF657" s="2388" t="s">
        <v>1346</v>
      </c>
      <c r="AG657" s="2388"/>
      <c r="AH657" s="2388"/>
      <c r="AI657" s="2388"/>
      <c r="AJ657" s="2388"/>
      <c r="AK657" s="2388"/>
      <c r="AL657" s="2388"/>
      <c r="AN657" s="595"/>
    </row>
    <row r="658" spans="1:42" s="549" customFormat="1" ht="12.75" customHeight="1">
      <c r="B658" s="536"/>
      <c r="C658" s="536"/>
      <c r="D658" s="659"/>
      <c r="E658" s="2387"/>
      <c r="F658" s="2387"/>
      <c r="G658" s="2387"/>
      <c r="H658" s="2387"/>
      <c r="I658" s="2387"/>
      <c r="J658" s="2387"/>
      <c r="K658" s="2387"/>
      <c r="L658" s="2387"/>
      <c r="M658" s="2387"/>
      <c r="N658" s="2387"/>
      <c r="O658" s="2387"/>
      <c r="P658" s="2387"/>
      <c r="Q658" s="2387"/>
      <c r="R658" s="2387"/>
      <c r="S658" s="2387"/>
      <c r="T658" s="2387"/>
      <c r="U658" s="2387"/>
      <c r="V658" s="2387"/>
      <c r="W658" s="2387"/>
      <c r="X658" s="2387"/>
      <c r="Y658" s="2387"/>
      <c r="Z658" s="2387"/>
      <c r="AA658" s="2387"/>
      <c r="AB658" s="2387"/>
      <c r="AC658" s="2387"/>
      <c r="AD658" s="2387"/>
      <c r="AE658" s="592"/>
      <c r="AF658" s="592"/>
      <c r="AG658" s="592"/>
      <c r="AH658" s="592"/>
      <c r="AI658" s="592"/>
      <c r="AJ658" s="592"/>
      <c r="AK658" s="592"/>
      <c r="AL658" s="592"/>
      <c r="AN658" s="595"/>
    </row>
    <row r="659" spans="1:42" s="549" customFormat="1" ht="12.75" customHeight="1">
      <c r="B659" s="614"/>
      <c r="C659" s="936"/>
      <c r="D659" s="659"/>
      <c r="E659" s="614"/>
      <c r="F659" s="614"/>
      <c r="G659" s="614"/>
      <c r="H659" s="614"/>
      <c r="I659" s="614"/>
      <c r="J659" s="614"/>
      <c r="K659" s="614"/>
      <c r="L659" s="614"/>
      <c r="M659" s="614"/>
      <c r="N659" s="614"/>
      <c r="O659" s="614"/>
      <c r="P659" s="614"/>
      <c r="Q659" s="614"/>
      <c r="R659" s="614"/>
      <c r="S659" s="614"/>
      <c r="T659" s="614"/>
      <c r="U659" s="614"/>
      <c r="V659" s="614"/>
      <c r="W659" s="614"/>
      <c r="X659" s="614"/>
      <c r="Y659" s="614"/>
      <c r="Z659" s="614"/>
      <c r="AA659" s="614"/>
      <c r="AB659" s="614"/>
      <c r="AC659" s="536"/>
      <c r="AD659" s="536"/>
      <c r="AE659" s="614"/>
      <c r="AF659" s="536"/>
      <c r="AG659" s="536"/>
      <c r="AH659" s="536"/>
      <c r="AI659" s="536"/>
      <c r="AJ659" s="536"/>
      <c r="AK659" s="536"/>
      <c r="AL659" s="536"/>
      <c r="AN659" s="595"/>
    </row>
    <row r="660" spans="1:42" s="549" customFormat="1" ht="12.75" customHeight="1">
      <c r="B660" s="536"/>
      <c r="C660" s="927"/>
      <c r="D660" s="659" t="s">
        <v>509</v>
      </c>
      <c r="E660" s="614" t="s">
        <v>1405</v>
      </c>
      <c r="F660" s="614"/>
      <c r="G660" s="614"/>
      <c r="H660" s="614"/>
      <c r="I660" s="614"/>
      <c r="J660" s="614"/>
      <c r="K660" s="614"/>
      <c r="L660" s="614"/>
      <c r="M660" s="614"/>
      <c r="N660" s="614"/>
      <c r="O660" s="614"/>
      <c r="P660" s="614"/>
      <c r="Q660" s="614"/>
      <c r="R660" s="614"/>
      <c r="S660" s="614"/>
      <c r="T660" s="614"/>
      <c r="U660" s="614"/>
      <c r="V660" s="614"/>
      <c r="W660" s="614"/>
      <c r="X660" s="614"/>
      <c r="Y660" s="614"/>
      <c r="Z660" s="614"/>
      <c r="AA660" s="614"/>
      <c r="AB660" s="614"/>
      <c r="AC660" s="536"/>
      <c r="AD660" s="536"/>
      <c r="AE660" s="536"/>
      <c r="AF660" s="2388" t="s">
        <v>1400</v>
      </c>
      <c r="AG660" s="2388"/>
      <c r="AH660" s="2388"/>
      <c r="AI660" s="2388"/>
      <c r="AJ660" s="2388"/>
      <c r="AK660" s="2388"/>
      <c r="AL660" s="2388"/>
      <c r="AN660" s="595"/>
    </row>
    <row r="661" spans="1:42" s="549" customFormat="1" ht="12.75" customHeight="1">
      <c r="B661" s="536"/>
      <c r="C661" s="927"/>
      <c r="D661" s="659"/>
      <c r="E661" s="614" t="s">
        <v>1406</v>
      </c>
      <c r="F661" s="614"/>
      <c r="G661" s="614"/>
      <c r="H661" s="614"/>
      <c r="I661" s="614"/>
      <c r="J661" s="614"/>
      <c r="K661" s="614"/>
      <c r="L661" s="614"/>
      <c r="M661" s="614"/>
      <c r="N661" s="614"/>
      <c r="O661" s="614"/>
      <c r="P661" s="614"/>
      <c r="Q661" s="614"/>
      <c r="R661" s="614"/>
      <c r="S661" s="614"/>
      <c r="T661" s="614"/>
      <c r="U661" s="614"/>
      <c r="V661" s="614"/>
      <c r="W661" s="614"/>
      <c r="X661" s="614"/>
      <c r="Y661" s="614"/>
      <c r="Z661" s="614"/>
      <c r="AA661" s="614"/>
      <c r="AB661" s="614"/>
      <c r="AC661" s="536"/>
      <c r="AD661" s="536"/>
      <c r="AE661" s="592"/>
      <c r="AF661" s="592"/>
      <c r="AG661" s="592"/>
      <c r="AH661" s="592"/>
      <c r="AI661" s="592"/>
      <c r="AJ661" s="592"/>
      <c r="AK661" s="592"/>
      <c r="AL661" s="592"/>
      <c r="AN661" s="595"/>
    </row>
    <row r="662" spans="1:42" s="549" customFormat="1" ht="12.75" customHeight="1">
      <c r="B662" s="536"/>
      <c r="C662" s="927"/>
      <c r="D662" s="536"/>
      <c r="E662" s="614"/>
      <c r="F662" s="614"/>
      <c r="G662" s="614"/>
      <c r="H662" s="614"/>
      <c r="I662" s="614"/>
      <c r="J662" s="614"/>
      <c r="K662" s="614"/>
      <c r="L662" s="614"/>
      <c r="M662" s="614"/>
      <c r="N662" s="614"/>
      <c r="O662" s="614"/>
      <c r="P662" s="614"/>
      <c r="Q662" s="614"/>
      <c r="R662" s="614"/>
      <c r="S662" s="614"/>
      <c r="T662" s="614"/>
      <c r="U662" s="614"/>
      <c r="V662" s="614"/>
      <c r="W662" s="614"/>
      <c r="X662" s="614"/>
      <c r="Y662" s="614"/>
      <c r="Z662" s="614"/>
      <c r="AA662" s="614"/>
      <c r="AB662" s="614"/>
      <c r="AC662" s="536"/>
      <c r="AD662" s="536"/>
      <c r="AE662" s="536"/>
      <c r="AF662" s="536"/>
      <c r="AG662" s="536"/>
      <c r="AH662" s="536"/>
      <c r="AI662" s="536"/>
      <c r="AJ662" s="536"/>
      <c r="AK662" s="536"/>
      <c r="AL662" s="536"/>
      <c r="AN662" s="595"/>
      <c r="AP662" s="676"/>
    </row>
    <row r="663" spans="1:42" s="549" customFormat="1" ht="12.75" customHeight="1">
      <c r="B663" s="536"/>
      <c r="C663" s="927"/>
      <c r="D663" s="536" t="s">
        <v>1392</v>
      </c>
      <c r="E663" s="932"/>
      <c r="F663" s="932"/>
      <c r="G663" s="932"/>
      <c r="H663" s="2389" t="s">
        <v>509</v>
      </c>
      <c r="I663" s="2389"/>
      <c r="J663" s="614"/>
      <c r="K663" s="614"/>
      <c r="L663" s="614"/>
      <c r="M663" s="614"/>
      <c r="N663" s="614"/>
      <c r="O663" s="614"/>
      <c r="P663" s="614"/>
      <c r="Q663" s="614"/>
      <c r="R663" s="614"/>
      <c r="S663" s="614"/>
      <c r="T663" s="614"/>
      <c r="U663" s="614"/>
      <c r="V663" s="614"/>
      <c r="W663" s="536"/>
      <c r="X663" s="536"/>
      <c r="Y663" s="536"/>
      <c r="Z663" s="536"/>
      <c r="AA663" s="536"/>
      <c r="AB663" s="536"/>
      <c r="AC663" s="536"/>
      <c r="AD663" s="536"/>
      <c r="AE663" s="536"/>
      <c r="AF663" s="536"/>
      <c r="AG663" s="536"/>
      <c r="AH663" s="536"/>
      <c r="AI663" s="536"/>
      <c r="AJ663" s="536"/>
      <c r="AK663" s="536"/>
      <c r="AL663" s="536"/>
      <c r="AN663" s="595"/>
    </row>
    <row r="664" spans="1:42" s="549" customFormat="1" ht="12.75" customHeight="1">
      <c r="B664" s="536"/>
      <c r="C664" s="927"/>
      <c r="D664" s="536"/>
      <c r="E664" s="932"/>
      <c r="F664" s="932"/>
      <c r="G664" s="614"/>
      <c r="H664" s="614"/>
      <c r="I664" s="614"/>
      <c r="J664" s="614"/>
      <c r="K664" s="614"/>
      <c r="L664" s="614"/>
      <c r="M664" s="614"/>
      <c r="N664" s="614"/>
      <c r="O664" s="614"/>
      <c r="P664" s="614"/>
      <c r="Q664" s="614"/>
      <c r="R664" s="614"/>
      <c r="S664" s="614"/>
      <c r="T664" s="614"/>
      <c r="U664" s="614"/>
      <c r="V664" s="614"/>
      <c r="W664" s="614"/>
      <c r="X664" s="614"/>
      <c r="Y664" s="614"/>
      <c r="Z664" s="932"/>
      <c r="AA664" s="932"/>
      <c r="AB664" s="932"/>
      <c r="AC664" s="536"/>
      <c r="AD664" s="536"/>
      <c r="AE664" s="536"/>
      <c r="AF664" s="536"/>
      <c r="AG664" s="536"/>
      <c r="AH664" s="536"/>
      <c r="AI664" s="536"/>
      <c r="AJ664" s="614"/>
      <c r="AK664" s="614"/>
      <c r="AL664" s="614"/>
      <c r="AM664" s="550"/>
      <c r="AN664" s="595"/>
    </row>
    <row r="665" spans="1:42" s="549" customFormat="1" ht="12.75" customHeight="1">
      <c r="A665" s="604"/>
      <c r="B665" s="599"/>
      <c r="C665" s="940"/>
      <c r="D665" s="599"/>
      <c r="E665" s="935"/>
      <c r="F665" s="935"/>
      <c r="G665" s="661"/>
      <c r="H665" s="661"/>
      <c r="I665" s="661"/>
      <c r="J665" s="661"/>
      <c r="K665" s="661"/>
      <c r="L665" s="661"/>
      <c r="M665" s="661"/>
      <c r="N665" s="661"/>
      <c r="O665" s="661"/>
      <c r="P665" s="661"/>
      <c r="Q665" s="661"/>
      <c r="R665" s="661"/>
      <c r="S665" s="661"/>
      <c r="T665" s="661"/>
      <c r="U665" s="661"/>
      <c r="V665" s="661"/>
      <c r="W665" s="661"/>
      <c r="X665" s="661"/>
      <c r="Y665" s="935"/>
      <c r="Z665" s="935"/>
      <c r="AA665" s="935"/>
      <c r="AB665" s="599"/>
      <c r="AC665" s="599"/>
      <c r="AD665" s="599"/>
      <c r="AE665" s="599"/>
      <c r="AF665" s="599"/>
      <c r="AG665" s="599"/>
      <c r="AH665" s="599"/>
      <c r="AI665" s="563" t="s">
        <v>1407</v>
      </c>
      <c r="AJ665" s="2390">
        <f>VLOOKUP(H663,AT618:AU620,2,FALSE)</f>
        <v>2</v>
      </c>
      <c r="AK665" s="2391"/>
      <c r="AL665" s="593"/>
      <c r="AN665" s="595"/>
    </row>
    <row r="666" spans="1:42" s="549" customFormat="1" ht="12.75" customHeight="1">
      <c r="B666" s="536"/>
      <c r="C666" s="927"/>
      <c r="D666" s="536"/>
      <c r="E666" s="536"/>
      <c r="F666" s="536"/>
      <c r="G666" s="536"/>
      <c r="H666" s="536"/>
      <c r="I666" s="536"/>
      <c r="J666" s="536"/>
      <c r="K666" s="536"/>
      <c r="L666" s="536"/>
      <c r="M666" s="536"/>
      <c r="N666" s="536"/>
      <c r="O666" s="536"/>
      <c r="P666" s="536"/>
      <c r="Q666" s="536"/>
      <c r="R666" s="536"/>
      <c r="S666" s="536"/>
      <c r="T666" s="536"/>
      <c r="U666" s="536"/>
      <c r="V666" s="536"/>
      <c r="W666" s="536"/>
      <c r="X666" s="536"/>
      <c r="Y666" s="536"/>
      <c r="Z666" s="536"/>
      <c r="AA666" s="536"/>
      <c r="AB666" s="536"/>
      <c r="AC666" s="536"/>
      <c r="AD666" s="536"/>
      <c r="AE666" s="536"/>
      <c r="AF666" s="536"/>
      <c r="AG666" s="536"/>
      <c r="AH666" s="536"/>
      <c r="AI666" s="536"/>
      <c r="AJ666" s="536"/>
      <c r="AK666" s="536"/>
      <c r="AL666" s="536"/>
      <c r="AN666" s="595"/>
    </row>
    <row r="667" spans="1:42" s="549" customFormat="1" ht="12.75" customHeight="1">
      <c r="B667" s="536"/>
      <c r="C667" s="539" t="s">
        <v>1408</v>
      </c>
      <c r="D667" s="536"/>
      <c r="E667" s="536"/>
      <c r="F667" s="536"/>
      <c r="G667" s="536"/>
      <c r="H667" s="536"/>
      <c r="I667" s="536"/>
      <c r="J667" s="536"/>
      <c r="K667" s="536"/>
      <c r="L667" s="536"/>
      <c r="M667" s="536"/>
      <c r="N667" s="536"/>
      <c r="O667" s="536"/>
      <c r="P667" s="536"/>
      <c r="Q667" s="536"/>
      <c r="R667" s="536"/>
      <c r="S667" s="536"/>
      <c r="T667" s="536"/>
      <c r="U667" s="536"/>
      <c r="V667" s="536"/>
      <c r="W667" s="536"/>
      <c r="X667" s="536"/>
      <c r="Y667" s="536"/>
      <c r="Z667" s="536"/>
      <c r="AA667" s="536"/>
      <c r="AB667" s="536"/>
      <c r="AC667" s="536"/>
      <c r="AD667" s="536"/>
      <c r="AE667" s="536"/>
      <c r="AF667" s="536"/>
      <c r="AG667" s="536"/>
      <c r="AH667" s="536"/>
      <c r="AI667" s="536"/>
      <c r="AJ667" s="536"/>
      <c r="AK667" s="536"/>
      <c r="AL667" s="536"/>
      <c r="AN667" s="595"/>
    </row>
    <row r="668" spans="1:42" s="549" customFormat="1" ht="12.75" customHeight="1">
      <c r="B668" s="536"/>
      <c r="C668" s="539"/>
      <c r="D668" s="678" t="s">
        <v>1409</v>
      </c>
      <c r="E668" s="536"/>
      <c r="F668" s="536"/>
      <c r="G668" s="536"/>
      <c r="H668" s="536"/>
      <c r="I668" s="536"/>
      <c r="J668" s="536"/>
      <c r="K668" s="536"/>
      <c r="L668" s="536"/>
      <c r="M668" s="536"/>
      <c r="N668" s="536"/>
      <c r="O668" s="536"/>
      <c r="P668" s="536"/>
      <c r="Q668" s="536"/>
      <c r="R668" s="536"/>
      <c r="S668" s="536"/>
      <c r="T668" s="536"/>
      <c r="U668" s="536"/>
      <c r="V668" s="536"/>
      <c r="W668" s="536"/>
      <c r="X668" s="536"/>
      <c r="Y668" s="536"/>
      <c r="Z668" s="536"/>
      <c r="AA668" s="536"/>
      <c r="AB668" s="536"/>
      <c r="AC668" s="536"/>
      <c r="AD668" s="536"/>
      <c r="AE668" s="536"/>
      <c r="AF668" s="536"/>
      <c r="AG668" s="536"/>
      <c r="AH668" s="536"/>
      <c r="AI668" s="536"/>
      <c r="AJ668" s="536"/>
      <c r="AK668" s="536"/>
      <c r="AL668" s="536"/>
      <c r="AN668" s="595"/>
    </row>
    <row r="669" spans="1:42" s="549" customFormat="1" ht="12.75" customHeight="1">
      <c r="B669" s="536"/>
      <c r="C669" s="539"/>
      <c r="D669" s="536"/>
      <c r="E669" s="536"/>
      <c r="F669" s="536"/>
      <c r="G669" s="536"/>
      <c r="H669" s="536"/>
      <c r="I669" s="536"/>
      <c r="J669" s="536"/>
      <c r="K669" s="536"/>
      <c r="L669" s="536"/>
      <c r="M669" s="536"/>
      <c r="N669" s="536"/>
      <c r="O669" s="536"/>
      <c r="P669" s="536"/>
      <c r="Q669" s="536"/>
      <c r="R669" s="536"/>
      <c r="S669" s="536"/>
      <c r="T669" s="536"/>
      <c r="U669" s="536"/>
      <c r="V669" s="536"/>
      <c r="W669" s="536"/>
      <c r="X669" s="536"/>
      <c r="Y669" s="536"/>
      <c r="Z669" s="536"/>
      <c r="AA669" s="536"/>
      <c r="AB669" s="536"/>
      <c r="AC669" s="536"/>
      <c r="AD669" s="536"/>
      <c r="AE669" s="536"/>
      <c r="AF669" s="536"/>
      <c r="AG669" s="536"/>
      <c r="AH669" s="536"/>
      <c r="AI669" s="536"/>
      <c r="AJ669" s="536"/>
      <c r="AK669" s="536"/>
      <c r="AL669" s="536"/>
      <c r="AN669" s="595"/>
    </row>
    <row r="670" spans="1:42" s="549" customFormat="1" ht="12.75" customHeight="1">
      <c r="B670" s="536"/>
      <c r="C670" s="539"/>
      <c r="D670" s="659" t="s">
        <v>687</v>
      </c>
      <c r="E670" s="2387" t="s">
        <v>1410</v>
      </c>
      <c r="F670" s="2387"/>
      <c r="G670" s="2387"/>
      <c r="H670" s="2387"/>
      <c r="I670" s="2387"/>
      <c r="J670" s="2387"/>
      <c r="K670" s="2387"/>
      <c r="L670" s="2387"/>
      <c r="M670" s="2387"/>
      <c r="N670" s="2387"/>
      <c r="O670" s="2387"/>
      <c r="P670" s="2387"/>
      <c r="Q670" s="2387"/>
      <c r="R670" s="2387"/>
      <c r="S670" s="2387"/>
      <c r="T670" s="2387"/>
      <c r="U670" s="2387"/>
      <c r="V670" s="2387"/>
      <c r="W670" s="2387"/>
      <c r="X670" s="2387"/>
      <c r="Y670" s="2387"/>
      <c r="Z670" s="2387"/>
      <c r="AA670" s="2387"/>
      <c r="AB670" s="2387"/>
      <c r="AC670" s="2387"/>
      <c r="AD670" s="536"/>
      <c r="AE670" s="536"/>
      <c r="AF670" s="2388" t="s">
        <v>1371</v>
      </c>
      <c r="AG670" s="2388"/>
      <c r="AH670" s="2388"/>
      <c r="AI670" s="2388"/>
      <c r="AJ670" s="2388"/>
      <c r="AK670" s="2388"/>
      <c r="AL670" s="2388"/>
      <c r="AN670" s="595"/>
    </row>
    <row r="671" spans="1:42" s="549" customFormat="1" ht="12.75" customHeight="1">
      <c r="B671" s="536"/>
      <c r="C671" s="539"/>
      <c r="D671" s="536"/>
      <c r="E671" s="2387"/>
      <c r="F671" s="2387"/>
      <c r="G671" s="2387"/>
      <c r="H671" s="2387"/>
      <c r="I671" s="2387"/>
      <c r="J671" s="2387"/>
      <c r="K671" s="2387"/>
      <c r="L671" s="2387"/>
      <c r="M671" s="2387"/>
      <c r="N671" s="2387"/>
      <c r="O671" s="2387"/>
      <c r="P671" s="2387"/>
      <c r="Q671" s="2387"/>
      <c r="R671" s="2387"/>
      <c r="S671" s="2387"/>
      <c r="T671" s="2387"/>
      <c r="U671" s="2387"/>
      <c r="V671" s="2387"/>
      <c r="W671" s="2387"/>
      <c r="X671" s="2387"/>
      <c r="Y671" s="2387"/>
      <c r="Z671" s="2387"/>
      <c r="AA671" s="2387"/>
      <c r="AB671" s="2387"/>
      <c r="AC671" s="2387"/>
      <c r="AD671" s="536"/>
      <c r="AE671" s="536"/>
      <c r="AF671" s="536"/>
      <c r="AG671" s="536"/>
      <c r="AH671" s="536"/>
      <c r="AI671" s="536"/>
      <c r="AJ671" s="536"/>
      <c r="AK671" s="536"/>
      <c r="AL671" s="536"/>
      <c r="AN671" s="595"/>
    </row>
    <row r="672" spans="1:42" s="549" customFormat="1" ht="12.75" customHeight="1">
      <c r="B672" s="536"/>
      <c r="C672" s="539"/>
      <c r="D672" s="659"/>
      <c r="E672" s="2387"/>
      <c r="F672" s="2387"/>
      <c r="G672" s="2387"/>
      <c r="H672" s="2387"/>
      <c r="I672" s="2387"/>
      <c r="J672" s="2387"/>
      <c r="K672" s="2387"/>
      <c r="L672" s="2387"/>
      <c r="M672" s="2387"/>
      <c r="N672" s="2387"/>
      <c r="O672" s="2387"/>
      <c r="P672" s="2387"/>
      <c r="Q672" s="2387"/>
      <c r="R672" s="2387"/>
      <c r="S672" s="2387"/>
      <c r="T672" s="2387"/>
      <c r="U672" s="2387"/>
      <c r="V672" s="2387"/>
      <c r="W672" s="2387"/>
      <c r="X672" s="2387"/>
      <c r="Y672" s="2387"/>
      <c r="Z672" s="2387"/>
      <c r="AA672" s="2387"/>
      <c r="AB672" s="2387"/>
      <c r="AC672" s="2387"/>
      <c r="AD672" s="536"/>
      <c r="AE672" s="536"/>
      <c r="AF672" s="536"/>
      <c r="AG672" s="536"/>
      <c r="AH672" s="536"/>
      <c r="AI672" s="536"/>
      <c r="AJ672" s="536"/>
      <c r="AK672" s="536"/>
      <c r="AL672" s="536"/>
      <c r="AN672" s="595"/>
    </row>
    <row r="673" spans="1:42" s="549" customFormat="1" ht="15" customHeight="1">
      <c r="B673" s="536"/>
      <c r="C673" s="539"/>
      <c r="D673" s="536"/>
      <c r="E673" s="942"/>
      <c r="F673" s="942"/>
      <c r="G673" s="942"/>
      <c r="H673" s="942"/>
      <c r="I673" s="942"/>
      <c r="J673" s="942"/>
      <c r="K673" s="942"/>
      <c r="L673" s="942"/>
      <c r="M673" s="942"/>
      <c r="N673" s="942"/>
      <c r="O673" s="942"/>
      <c r="P673" s="942"/>
      <c r="Q673" s="942"/>
      <c r="R673" s="942"/>
      <c r="S673" s="942"/>
      <c r="T673" s="942"/>
      <c r="U673" s="942"/>
      <c r="V673" s="942"/>
      <c r="W673" s="942"/>
      <c r="X673" s="942"/>
      <c r="Y673" s="942"/>
      <c r="Z673" s="942"/>
      <c r="AA673" s="942"/>
      <c r="AB673" s="942"/>
      <c r="AC673" s="536"/>
      <c r="AD673" s="536"/>
      <c r="AE673" s="536"/>
      <c r="AF673" s="536"/>
      <c r="AG673" s="536"/>
      <c r="AH673" s="536"/>
      <c r="AI673" s="536"/>
      <c r="AJ673" s="536"/>
      <c r="AK673" s="536"/>
      <c r="AL673" s="536"/>
      <c r="AN673" s="595"/>
    </row>
    <row r="674" spans="1:42" s="549" customFormat="1" ht="12.75" customHeight="1">
      <c r="B674" s="536"/>
      <c r="C674" s="539"/>
      <c r="D674" s="659" t="s">
        <v>509</v>
      </c>
      <c r="E674" s="2387" t="s">
        <v>1411</v>
      </c>
      <c r="F674" s="2387"/>
      <c r="G674" s="2387"/>
      <c r="H674" s="2387"/>
      <c r="I674" s="2387"/>
      <c r="J674" s="2387"/>
      <c r="K674" s="2387"/>
      <c r="L674" s="2387"/>
      <c r="M674" s="2387"/>
      <c r="N674" s="2387"/>
      <c r="O674" s="2387"/>
      <c r="P674" s="2387"/>
      <c r="Q674" s="2387"/>
      <c r="R674" s="2387"/>
      <c r="S674" s="2387"/>
      <c r="T674" s="2387"/>
      <c r="U674" s="2387"/>
      <c r="V674" s="2387"/>
      <c r="W674" s="2387"/>
      <c r="X674" s="2387"/>
      <c r="Y674" s="2387"/>
      <c r="Z674" s="2387"/>
      <c r="AA674" s="2387"/>
      <c r="AB674" s="2387"/>
      <c r="AC674" s="2387"/>
      <c r="AD674" s="536"/>
      <c r="AE674" s="536"/>
      <c r="AF674" s="2388" t="s">
        <v>1391</v>
      </c>
      <c r="AG674" s="2388"/>
      <c r="AH674" s="2388"/>
      <c r="AI674" s="2388"/>
      <c r="AJ674" s="2388"/>
      <c r="AK674" s="2388"/>
      <c r="AL674" s="2388"/>
      <c r="AN674" s="595"/>
    </row>
    <row r="675" spans="1:42" s="549" customFormat="1" ht="12.75" customHeight="1">
      <c r="B675" s="536"/>
      <c r="C675" s="539"/>
      <c r="D675" s="536"/>
      <c r="E675" s="2387"/>
      <c r="F675" s="2387"/>
      <c r="G675" s="2387"/>
      <c r="H675" s="2387"/>
      <c r="I675" s="2387"/>
      <c r="J675" s="2387"/>
      <c r="K675" s="2387"/>
      <c r="L675" s="2387"/>
      <c r="M675" s="2387"/>
      <c r="N675" s="2387"/>
      <c r="O675" s="2387"/>
      <c r="P675" s="2387"/>
      <c r="Q675" s="2387"/>
      <c r="R675" s="2387"/>
      <c r="S675" s="2387"/>
      <c r="T675" s="2387"/>
      <c r="U675" s="2387"/>
      <c r="V675" s="2387"/>
      <c r="W675" s="2387"/>
      <c r="X675" s="2387"/>
      <c r="Y675" s="2387"/>
      <c r="Z675" s="2387"/>
      <c r="AA675" s="2387"/>
      <c r="AB675" s="2387"/>
      <c r="AC675" s="2387"/>
      <c r="AD675" s="536"/>
      <c r="AE675" s="536"/>
      <c r="AF675" s="536"/>
      <c r="AG675" s="536"/>
      <c r="AH675" s="536"/>
      <c r="AI675" s="536"/>
      <c r="AJ675" s="536"/>
      <c r="AK675" s="536"/>
      <c r="AL675" s="536"/>
      <c r="AN675" s="595"/>
    </row>
    <row r="676" spans="1:42" s="549" customFormat="1" ht="15" customHeight="1">
      <c r="B676" s="536"/>
      <c r="C676" s="539"/>
      <c r="D676" s="659"/>
      <c r="E676" s="2387"/>
      <c r="F676" s="2387"/>
      <c r="G676" s="2387"/>
      <c r="H676" s="2387"/>
      <c r="I676" s="2387"/>
      <c r="J676" s="2387"/>
      <c r="K676" s="2387"/>
      <c r="L676" s="2387"/>
      <c r="M676" s="2387"/>
      <c r="N676" s="2387"/>
      <c r="O676" s="2387"/>
      <c r="P676" s="2387"/>
      <c r="Q676" s="2387"/>
      <c r="R676" s="2387"/>
      <c r="S676" s="2387"/>
      <c r="T676" s="2387"/>
      <c r="U676" s="2387"/>
      <c r="V676" s="2387"/>
      <c r="W676" s="2387"/>
      <c r="X676" s="2387"/>
      <c r="Y676" s="2387"/>
      <c r="Z676" s="2387"/>
      <c r="AA676" s="2387"/>
      <c r="AB676" s="2387"/>
      <c r="AC676" s="2387"/>
      <c r="AD676" s="536"/>
      <c r="AE676" s="536"/>
      <c r="AF676" s="536"/>
      <c r="AG676" s="536"/>
      <c r="AH676" s="536"/>
      <c r="AI676" s="536"/>
      <c r="AJ676" s="536"/>
      <c r="AK676" s="536"/>
      <c r="AL676" s="536"/>
      <c r="AN676" s="595"/>
    </row>
    <row r="677" spans="1:42" s="549" customFormat="1" ht="12.75" customHeight="1">
      <c r="B677" s="536"/>
      <c r="C677" s="539"/>
      <c r="D677" s="536"/>
      <c r="E677" s="942"/>
      <c r="F677" s="942"/>
      <c r="G677" s="942"/>
      <c r="H677" s="942"/>
      <c r="I677" s="942"/>
      <c r="J677" s="942"/>
      <c r="K677" s="942"/>
      <c r="L677" s="942"/>
      <c r="M677" s="942"/>
      <c r="N677" s="942"/>
      <c r="O677" s="942"/>
      <c r="P677" s="942"/>
      <c r="Q677" s="942"/>
      <c r="R677" s="942"/>
      <c r="S677" s="942"/>
      <c r="T677" s="942"/>
      <c r="U677" s="942"/>
      <c r="V677" s="942"/>
      <c r="W677" s="942"/>
      <c r="X677" s="942"/>
      <c r="Y677" s="942"/>
      <c r="Z677" s="942"/>
      <c r="AA677" s="942"/>
      <c r="AB677" s="942"/>
      <c r="AC677" s="536"/>
      <c r="AD677" s="536"/>
      <c r="AE677" s="536"/>
      <c r="AF677" s="536"/>
      <c r="AG677" s="536"/>
      <c r="AH677" s="536"/>
      <c r="AI677" s="536"/>
      <c r="AJ677" s="536"/>
      <c r="AK677" s="536"/>
      <c r="AL677" s="536"/>
      <c r="AN677" s="595"/>
    </row>
    <row r="678" spans="1:42" s="549" customFormat="1" ht="12.75" customHeight="1">
      <c r="B678" s="536"/>
      <c r="C678" s="539"/>
      <c r="D678" s="659" t="s">
        <v>278</v>
      </c>
      <c r="E678" s="2387" t="s">
        <v>1412</v>
      </c>
      <c r="F678" s="2387"/>
      <c r="G678" s="2387"/>
      <c r="H678" s="2387"/>
      <c r="I678" s="2387"/>
      <c r="J678" s="2387"/>
      <c r="K678" s="2387"/>
      <c r="L678" s="2387"/>
      <c r="M678" s="2387"/>
      <c r="N678" s="2387"/>
      <c r="O678" s="2387"/>
      <c r="P678" s="2387"/>
      <c r="Q678" s="2387"/>
      <c r="R678" s="2387"/>
      <c r="S678" s="2387"/>
      <c r="T678" s="2387"/>
      <c r="U678" s="2387"/>
      <c r="V678" s="2387"/>
      <c r="W678" s="2387"/>
      <c r="X678" s="2387"/>
      <c r="Y678" s="2387"/>
      <c r="Z678" s="2387"/>
      <c r="AA678" s="2387"/>
      <c r="AB678" s="2387"/>
      <c r="AC678" s="2387"/>
      <c r="AD678" s="536"/>
      <c r="AE678" s="536"/>
      <c r="AF678" s="2388" t="s">
        <v>1346</v>
      </c>
      <c r="AG678" s="2388"/>
      <c r="AH678" s="2388"/>
      <c r="AI678" s="2388"/>
      <c r="AJ678" s="2388"/>
      <c r="AK678" s="2388"/>
      <c r="AL678" s="2388"/>
      <c r="AN678" s="595"/>
    </row>
    <row r="679" spans="1:42" s="549" customFormat="1" ht="12.75" customHeight="1">
      <c r="B679" s="536"/>
      <c r="C679" s="927"/>
      <c r="D679" s="536"/>
      <c r="E679" s="2387"/>
      <c r="F679" s="2387"/>
      <c r="G679" s="2387"/>
      <c r="H679" s="2387"/>
      <c r="I679" s="2387"/>
      <c r="J679" s="2387"/>
      <c r="K679" s="2387"/>
      <c r="L679" s="2387"/>
      <c r="M679" s="2387"/>
      <c r="N679" s="2387"/>
      <c r="O679" s="2387"/>
      <c r="P679" s="2387"/>
      <c r="Q679" s="2387"/>
      <c r="R679" s="2387"/>
      <c r="S679" s="2387"/>
      <c r="T679" s="2387"/>
      <c r="U679" s="2387"/>
      <c r="V679" s="2387"/>
      <c r="W679" s="2387"/>
      <c r="X679" s="2387"/>
      <c r="Y679" s="2387"/>
      <c r="Z679" s="2387"/>
      <c r="AA679" s="2387"/>
      <c r="AB679" s="2387"/>
      <c r="AC679" s="2387"/>
      <c r="AD679" s="536"/>
      <c r="AE679" s="2388"/>
      <c r="AF679" s="2388"/>
      <c r="AG679" s="2388"/>
      <c r="AH679" s="2388"/>
      <c r="AI679" s="2388"/>
      <c r="AJ679" s="2388"/>
      <c r="AK679" s="2388"/>
      <c r="AL679" s="592"/>
      <c r="AN679" s="595"/>
      <c r="AO679" s="549" t="s">
        <v>591</v>
      </c>
      <c r="AP679" s="669">
        <v>0</v>
      </c>
    </row>
    <row r="680" spans="1:42" s="549" customFormat="1" ht="12.75" customHeight="1">
      <c r="A680" s="675"/>
      <c r="B680" s="536"/>
      <c r="C680" s="536"/>
      <c r="D680" s="659"/>
      <c r="E680" s="2387"/>
      <c r="F680" s="2387"/>
      <c r="G680" s="2387"/>
      <c r="H680" s="2387"/>
      <c r="I680" s="2387"/>
      <c r="J680" s="2387"/>
      <c r="K680" s="2387"/>
      <c r="L680" s="2387"/>
      <c r="M680" s="2387"/>
      <c r="N680" s="2387"/>
      <c r="O680" s="2387"/>
      <c r="P680" s="2387"/>
      <c r="Q680" s="2387"/>
      <c r="R680" s="2387"/>
      <c r="S680" s="2387"/>
      <c r="T680" s="2387"/>
      <c r="U680" s="2387"/>
      <c r="V680" s="2387"/>
      <c r="W680" s="2387"/>
      <c r="X680" s="2387"/>
      <c r="Y680" s="2387"/>
      <c r="Z680" s="2387"/>
      <c r="AA680" s="2387"/>
      <c r="AB680" s="2387"/>
      <c r="AC680" s="2387"/>
      <c r="AD680" s="536"/>
      <c r="AE680" s="536"/>
      <c r="AF680" s="536"/>
      <c r="AG680" s="536"/>
      <c r="AH680" s="536"/>
      <c r="AI680" s="536"/>
      <c r="AJ680" s="536"/>
      <c r="AK680" s="536"/>
      <c r="AL680" s="536"/>
      <c r="AN680" s="595"/>
      <c r="AO680" s="609" t="s">
        <v>687</v>
      </c>
      <c r="AP680" s="549">
        <v>3</v>
      </c>
    </row>
    <row r="681" spans="1:42" s="549" customFormat="1" ht="12.75" customHeight="1">
      <c r="B681" s="536"/>
      <c r="C681" s="927"/>
      <c r="D681" s="659"/>
      <c r="E681" s="573"/>
      <c r="F681" s="573"/>
      <c r="G681" s="573"/>
      <c r="H681" s="573"/>
      <c r="I681" s="573"/>
      <c r="J681" s="573"/>
      <c r="K681" s="573"/>
      <c r="L681" s="573"/>
      <c r="M681" s="573"/>
      <c r="N681" s="573"/>
      <c r="O681" s="573"/>
      <c r="P681" s="573"/>
      <c r="Q681" s="573"/>
      <c r="R681" s="573"/>
      <c r="S681" s="573"/>
      <c r="T681" s="573"/>
      <c r="U681" s="573"/>
      <c r="V681" s="573"/>
      <c r="W681" s="573"/>
      <c r="X681" s="573"/>
      <c r="Y681" s="573"/>
      <c r="Z681" s="573"/>
      <c r="AA681" s="573"/>
      <c r="AB681" s="573"/>
      <c r="AC681" s="536"/>
      <c r="AD681" s="536"/>
      <c r="AE681" s="536"/>
      <c r="AF681" s="536"/>
      <c r="AG681" s="536"/>
      <c r="AH681" s="536"/>
      <c r="AI681" s="536"/>
      <c r="AJ681" s="536"/>
      <c r="AK681" s="536"/>
      <c r="AL681" s="536"/>
      <c r="AN681" s="595"/>
      <c r="AO681" s="609" t="s">
        <v>509</v>
      </c>
      <c r="AP681" s="549">
        <v>2</v>
      </c>
    </row>
    <row r="682" spans="1:42" s="549" customFormat="1" ht="12.75" customHeight="1">
      <c r="A682" s="666"/>
      <c r="B682" s="536"/>
      <c r="C682" s="943"/>
      <c r="D682" s="659" t="s">
        <v>1389</v>
      </c>
      <c r="E682" s="2387" t="s">
        <v>1413</v>
      </c>
      <c r="F682" s="2387"/>
      <c r="G682" s="2387"/>
      <c r="H682" s="2387"/>
      <c r="I682" s="2387"/>
      <c r="J682" s="2387"/>
      <c r="K682" s="2387"/>
      <c r="L682" s="2387"/>
      <c r="M682" s="2387"/>
      <c r="N682" s="2387"/>
      <c r="O682" s="2387"/>
      <c r="P682" s="2387"/>
      <c r="Q682" s="2387"/>
      <c r="R682" s="2387"/>
      <c r="S682" s="2387"/>
      <c r="T682" s="2387"/>
      <c r="U682" s="2387"/>
      <c r="V682" s="2387"/>
      <c r="W682" s="2387"/>
      <c r="X682" s="2387"/>
      <c r="Y682" s="2387"/>
      <c r="Z682" s="2387"/>
      <c r="AA682" s="2387"/>
      <c r="AB682" s="2387"/>
      <c r="AC682" s="2387"/>
      <c r="AD682" s="536"/>
      <c r="AE682" s="536"/>
      <c r="AF682" s="2388" t="s">
        <v>1391</v>
      </c>
      <c r="AG682" s="2388"/>
      <c r="AH682" s="2388"/>
      <c r="AI682" s="2388"/>
      <c r="AJ682" s="2388"/>
      <c r="AK682" s="2388"/>
      <c r="AL682" s="2388"/>
      <c r="AN682" s="595"/>
    </row>
    <row r="683" spans="1:42" s="549" customFormat="1" ht="12.75" customHeight="1">
      <c r="A683" s="666"/>
      <c r="B683" s="536"/>
      <c r="C683" s="943"/>
      <c r="D683" s="659"/>
      <c r="E683" s="2387"/>
      <c r="F683" s="2387"/>
      <c r="G683" s="2387"/>
      <c r="H683" s="2387"/>
      <c r="I683" s="2387"/>
      <c r="J683" s="2387"/>
      <c r="K683" s="2387"/>
      <c r="L683" s="2387"/>
      <c r="M683" s="2387"/>
      <c r="N683" s="2387"/>
      <c r="O683" s="2387"/>
      <c r="P683" s="2387"/>
      <c r="Q683" s="2387"/>
      <c r="R683" s="2387"/>
      <c r="S683" s="2387"/>
      <c r="T683" s="2387"/>
      <c r="U683" s="2387"/>
      <c r="V683" s="2387"/>
      <c r="W683" s="2387"/>
      <c r="X683" s="2387"/>
      <c r="Y683" s="2387"/>
      <c r="Z683" s="2387"/>
      <c r="AA683" s="2387"/>
      <c r="AB683" s="2387"/>
      <c r="AC683" s="2387"/>
      <c r="AD683" s="536"/>
      <c r="AE683" s="592"/>
      <c r="AF683" s="592"/>
      <c r="AG683" s="592"/>
      <c r="AH683" s="592"/>
      <c r="AI683" s="592"/>
      <c r="AJ683" s="592"/>
      <c r="AK683" s="592"/>
      <c r="AL683" s="592"/>
      <c r="AM683" s="594"/>
      <c r="AN683" s="595"/>
    </row>
    <row r="684" spans="1:42" s="549" customFormat="1" ht="12.75" customHeight="1">
      <c r="A684" s="666"/>
      <c r="B684" s="536"/>
      <c r="C684" s="943"/>
      <c r="D684" s="659"/>
      <c r="E684" s="2387"/>
      <c r="F684" s="2387"/>
      <c r="G684" s="2387"/>
      <c r="H684" s="2387"/>
      <c r="I684" s="2387"/>
      <c r="J684" s="2387"/>
      <c r="K684" s="2387"/>
      <c r="L684" s="2387"/>
      <c r="M684" s="2387"/>
      <c r="N684" s="2387"/>
      <c r="O684" s="2387"/>
      <c r="P684" s="2387"/>
      <c r="Q684" s="2387"/>
      <c r="R684" s="2387"/>
      <c r="S684" s="2387"/>
      <c r="T684" s="2387"/>
      <c r="U684" s="2387"/>
      <c r="V684" s="2387"/>
      <c r="W684" s="2387"/>
      <c r="X684" s="2387"/>
      <c r="Y684" s="2387"/>
      <c r="Z684" s="2387"/>
      <c r="AA684" s="2387"/>
      <c r="AB684" s="2387"/>
      <c r="AC684" s="2387"/>
      <c r="AD684" s="536"/>
      <c r="AE684" s="592"/>
      <c r="AF684" s="592"/>
      <c r="AG684" s="592"/>
      <c r="AH684" s="592"/>
      <c r="AI684" s="592"/>
      <c r="AJ684" s="592"/>
      <c r="AK684" s="592"/>
      <c r="AL684" s="592"/>
      <c r="AM684" s="594"/>
      <c r="AN684" s="595"/>
    </row>
    <row r="685" spans="1:42" s="549" customFormat="1" ht="12.75" customHeight="1">
      <c r="B685" s="536"/>
      <c r="C685" s="927"/>
      <c r="D685" s="659"/>
      <c r="E685" s="640"/>
      <c r="F685" s="640"/>
      <c r="G685" s="640"/>
      <c r="H685" s="640"/>
      <c r="I685" s="640"/>
      <c r="J685" s="640"/>
      <c r="K685" s="640"/>
      <c r="L685" s="640"/>
      <c r="M685" s="640"/>
      <c r="N685" s="640"/>
      <c r="O685" s="640"/>
      <c r="P685" s="640"/>
      <c r="Q685" s="640"/>
      <c r="R685" s="640"/>
      <c r="S685" s="640"/>
      <c r="T685" s="640"/>
      <c r="U685" s="640"/>
      <c r="V685" s="640"/>
      <c r="W685" s="640"/>
      <c r="X685" s="640"/>
      <c r="Y685" s="640"/>
      <c r="Z685" s="640"/>
      <c r="AA685" s="640"/>
      <c r="AB685" s="640"/>
      <c r="AC685" s="539"/>
      <c r="AD685" s="539"/>
      <c r="AE685" s="536"/>
      <c r="AF685" s="536"/>
      <c r="AG685" s="536"/>
      <c r="AH685" s="536"/>
      <c r="AI685" s="536"/>
      <c r="AJ685" s="536"/>
      <c r="AK685" s="536"/>
      <c r="AL685" s="592"/>
      <c r="AM685" s="594"/>
      <c r="AN685" s="595"/>
    </row>
    <row r="686" spans="1:42" s="549" customFormat="1" ht="12.75" customHeight="1">
      <c r="B686" s="536"/>
      <c r="C686" s="927"/>
      <c r="D686" s="659" t="s">
        <v>1390</v>
      </c>
      <c r="E686" s="2387" t="s">
        <v>1414</v>
      </c>
      <c r="F686" s="2387"/>
      <c r="G686" s="2387"/>
      <c r="H686" s="2387"/>
      <c r="I686" s="2387"/>
      <c r="J686" s="2387"/>
      <c r="K686" s="2387"/>
      <c r="L686" s="2387"/>
      <c r="M686" s="2387"/>
      <c r="N686" s="2387"/>
      <c r="O686" s="2387"/>
      <c r="P686" s="2387"/>
      <c r="Q686" s="2387"/>
      <c r="R686" s="2387"/>
      <c r="S686" s="2387"/>
      <c r="T686" s="2387"/>
      <c r="U686" s="2387"/>
      <c r="V686" s="2387"/>
      <c r="W686" s="2387"/>
      <c r="X686" s="2387"/>
      <c r="Y686" s="2387"/>
      <c r="Z686" s="2387"/>
      <c r="AA686" s="2387"/>
      <c r="AB686" s="2387"/>
      <c r="AC686" s="2387"/>
      <c r="AD686" s="536"/>
      <c r="AE686" s="536"/>
      <c r="AF686" s="2388" t="s">
        <v>1346</v>
      </c>
      <c r="AG686" s="2388"/>
      <c r="AH686" s="2388"/>
      <c r="AI686" s="2388"/>
      <c r="AJ686" s="2388"/>
      <c r="AK686" s="2388"/>
      <c r="AL686" s="2388"/>
      <c r="AM686" s="594"/>
      <c r="AN686" s="595"/>
    </row>
    <row r="687" spans="1:42" s="549" customFormat="1" ht="12.75" customHeight="1">
      <c r="B687" s="536"/>
      <c r="C687" s="927"/>
      <c r="D687" s="659"/>
      <c r="E687" s="2387"/>
      <c r="F687" s="2387"/>
      <c r="G687" s="2387"/>
      <c r="H687" s="2387"/>
      <c r="I687" s="2387"/>
      <c r="J687" s="2387"/>
      <c r="K687" s="2387"/>
      <c r="L687" s="2387"/>
      <c r="M687" s="2387"/>
      <c r="N687" s="2387"/>
      <c r="O687" s="2387"/>
      <c r="P687" s="2387"/>
      <c r="Q687" s="2387"/>
      <c r="R687" s="2387"/>
      <c r="S687" s="2387"/>
      <c r="T687" s="2387"/>
      <c r="U687" s="2387"/>
      <c r="V687" s="2387"/>
      <c r="W687" s="2387"/>
      <c r="X687" s="2387"/>
      <c r="Y687" s="2387"/>
      <c r="Z687" s="2387"/>
      <c r="AA687" s="2387"/>
      <c r="AB687" s="2387"/>
      <c r="AC687" s="2387"/>
      <c r="AD687" s="536"/>
      <c r="AE687" s="536"/>
      <c r="AF687" s="536"/>
      <c r="AG687" s="536"/>
      <c r="AH687" s="536"/>
      <c r="AI687" s="536"/>
      <c r="AJ687" s="536"/>
      <c r="AK687" s="536"/>
      <c r="AL687" s="536"/>
      <c r="AM687" s="594"/>
      <c r="AN687" s="595"/>
    </row>
    <row r="688" spans="1:42" s="549" customFormat="1" ht="12.75" customHeight="1">
      <c r="B688" s="536"/>
      <c r="C688" s="927"/>
      <c r="D688" s="659"/>
      <c r="E688" s="2387"/>
      <c r="F688" s="2387"/>
      <c r="G688" s="2387"/>
      <c r="H688" s="2387"/>
      <c r="I688" s="2387"/>
      <c r="J688" s="2387"/>
      <c r="K688" s="2387"/>
      <c r="L688" s="2387"/>
      <c r="M688" s="2387"/>
      <c r="N688" s="2387"/>
      <c r="O688" s="2387"/>
      <c r="P688" s="2387"/>
      <c r="Q688" s="2387"/>
      <c r="R688" s="2387"/>
      <c r="S688" s="2387"/>
      <c r="T688" s="2387"/>
      <c r="U688" s="2387"/>
      <c r="V688" s="2387"/>
      <c r="W688" s="2387"/>
      <c r="X688" s="2387"/>
      <c r="Y688" s="2387"/>
      <c r="Z688" s="2387"/>
      <c r="AA688" s="2387"/>
      <c r="AB688" s="2387"/>
      <c r="AC688" s="2387"/>
      <c r="AD688" s="536"/>
      <c r="AE688" s="536"/>
      <c r="AF688" s="536"/>
      <c r="AG688" s="536"/>
      <c r="AH688" s="536"/>
      <c r="AI688" s="536"/>
      <c r="AJ688" s="536"/>
      <c r="AK688" s="536"/>
      <c r="AL688" s="536"/>
      <c r="AM688" s="594"/>
      <c r="AN688" s="595"/>
    </row>
    <row r="689" spans="1:50" s="549" customFormat="1" ht="12.75" customHeight="1">
      <c r="B689" s="536"/>
      <c r="C689" s="927"/>
      <c r="D689" s="659"/>
      <c r="E689" s="536"/>
      <c r="F689" s="536"/>
      <c r="G689" s="536"/>
      <c r="H689" s="536"/>
      <c r="I689" s="536"/>
      <c r="J689" s="536"/>
      <c r="K689" s="536"/>
      <c r="L689" s="536"/>
      <c r="M689" s="536"/>
      <c r="N689" s="536"/>
      <c r="O689" s="536"/>
      <c r="P689" s="536"/>
      <c r="Q689" s="536"/>
      <c r="R689" s="536"/>
      <c r="S689" s="536"/>
      <c r="T689" s="536"/>
      <c r="U689" s="536"/>
      <c r="V689" s="536"/>
      <c r="W689" s="536"/>
      <c r="X689" s="536"/>
      <c r="Y689" s="536"/>
      <c r="Z689" s="536"/>
      <c r="AA689" s="536"/>
      <c r="AB689" s="536"/>
      <c r="AC689" s="536"/>
      <c r="AD689" s="536"/>
      <c r="AE689" s="536"/>
      <c r="AF689" s="536"/>
      <c r="AG689" s="536"/>
      <c r="AH689" s="536"/>
      <c r="AI689" s="536"/>
      <c r="AJ689" s="536"/>
      <c r="AK689" s="536"/>
      <c r="AL689" s="536"/>
      <c r="AM689" s="594"/>
      <c r="AN689" s="595"/>
    </row>
    <row r="690" spans="1:50" s="549" customFormat="1" ht="12.75" customHeight="1">
      <c r="A690" s="675"/>
      <c r="B690" s="536"/>
      <c r="C690" s="927"/>
      <c r="D690" s="659" t="s">
        <v>1401</v>
      </c>
      <c r="E690" s="2387" t="s">
        <v>1415</v>
      </c>
      <c r="F690" s="2387"/>
      <c r="G690" s="2387"/>
      <c r="H690" s="2387"/>
      <c r="I690" s="2387"/>
      <c r="J690" s="2387"/>
      <c r="K690" s="2387"/>
      <c r="L690" s="2387"/>
      <c r="M690" s="2387"/>
      <c r="N690" s="2387"/>
      <c r="O690" s="2387"/>
      <c r="P690" s="2387"/>
      <c r="Q690" s="2387"/>
      <c r="R690" s="2387"/>
      <c r="S690" s="2387"/>
      <c r="T690" s="2387"/>
      <c r="U690" s="2387"/>
      <c r="V690" s="2387"/>
      <c r="W690" s="2387"/>
      <c r="X690" s="2387"/>
      <c r="Y690" s="2387"/>
      <c r="Z690" s="2387"/>
      <c r="AA690" s="2387"/>
      <c r="AB690" s="2387"/>
      <c r="AC690" s="2387"/>
      <c r="AD690" s="536"/>
      <c r="AE690" s="536"/>
      <c r="AF690" s="2388" t="s">
        <v>1400</v>
      </c>
      <c r="AG690" s="2388"/>
      <c r="AH690" s="2388"/>
      <c r="AI690" s="2388"/>
      <c r="AJ690" s="2388"/>
      <c r="AK690" s="2388"/>
      <c r="AL690" s="2388"/>
      <c r="AM690" s="594"/>
      <c r="AN690" s="595"/>
    </row>
    <row r="691" spans="1:50" s="549" customFormat="1" ht="12.75" customHeight="1">
      <c r="A691" s="675"/>
      <c r="B691" s="536"/>
      <c r="C691" s="927"/>
      <c r="D691" s="659"/>
      <c r="E691" s="2387"/>
      <c r="F691" s="2387"/>
      <c r="G691" s="2387"/>
      <c r="H691" s="2387"/>
      <c r="I691" s="2387"/>
      <c r="J691" s="2387"/>
      <c r="K691" s="2387"/>
      <c r="L691" s="2387"/>
      <c r="M691" s="2387"/>
      <c r="N691" s="2387"/>
      <c r="O691" s="2387"/>
      <c r="P691" s="2387"/>
      <c r="Q691" s="2387"/>
      <c r="R691" s="2387"/>
      <c r="S691" s="2387"/>
      <c r="T691" s="2387"/>
      <c r="U691" s="2387"/>
      <c r="V691" s="2387"/>
      <c r="W691" s="2387"/>
      <c r="X691" s="2387"/>
      <c r="Y691" s="2387"/>
      <c r="Z691" s="2387"/>
      <c r="AA691" s="2387"/>
      <c r="AB691" s="2387"/>
      <c r="AC691" s="2387"/>
      <c r="AD691" s="536"/>
      <c r="AE691" s="536"/>
      <c r="AF691" s="592"/>
      <c r="AG691" s="592"/>
      <c r="AH691" s="592"/>
      <c r="AI691" s="592"/>
      <c r="AJ691" s="592"/>
      <c r="AK691" s="592"/>
      <c r="AL691" s="592"/>
      <c r="AM691" s="594"/>
      <c r="AN691" s="595"/>
    </row>
    <row r="692" spans="1:50" s="549" customFormat="1" ht="12.75" customHeight="1">
      <c r="A692" s="675"/>
      <c r="B692" s="536"/>
      <c r="C692" s="927"/>
      <c r="D692" s="659"/>
      <c r="E692" s="2387"/>
      <c r="F692" s="2387"/>
      <c r="G692" s="2387"/>
      <c r="H692" s="2387"/>
      <c r="I692" s="2387"/>
      <c r="J692" s="2387"/>
      <c r="K692" s="2387"/>
      <c r="L692" s="2387"/>
      <c r="M692" s="2387"/>
      <c r="N692" s="2387"/>
      <c r="O692" s="2387"/>
      <c r="P692" s="2387"/>
      <c r="Q692" s="2387"/>
      <c r="R692" s="2387"/>
      <c r="S692" s="2387"/>
      <c r="T692" s="2387"/>
      <c r="U692" s="2387"/>
      <c r="V692" s="2387"/>
      <c r="W692" s="2387"/>
      <c r="X692" s="2387"/>
      <c r="Y692" s="2387"/>
      <c r="Z692" s="2387"/>
      <c r="AA692" s="2387"/>
      <c r="AB692" s="2387"/>
      <c r="AC692" s="2387"/>
      <c r="AD692" s="536"/>
      <c r="AE692" s="592"/>
      <c r="AF692" s="592"/>
      <c r="AG692" s="592"/>
      <c r="AH692" s="592"/>
      <c r="AI692" s="592"/>
      <c r="AJ692" s="592"/>
      <c r="AK692" s="592"/>
      <c r="AL692" s="592"/>
      <c r="AM692" s="594"/>
      <c r="AN692" s="595"/>
    </row>
    <row r="693" spans="1:50" s="549" customFormat="1" ht="12.75" customHeight="1">
      <c r="A693" s="675"/>
      <c r="B693" s="536"/>
      <c r="C693" s="927"/>
      <c r="D693" s="659"/>
      <c r="E693" s="640"/>
      <c r="F693" s="640"/>
      <c r="G693" s="640"/>
      <c r="H693" s="640"/>
      <c r="I693" s="640"/>
      <c r="J693" s="640"/>
      <c r="K693" s="640"/>
      <c r="L693" s="640"/>
      <c r="M693" s="640"/>
      <c r="N693" s="640"/>
      <c r="O693" s="640"/>
      <c r="P693" s="640"/>
      <c r="Q693" s="640"/>
      <c r="R693" s="640"/>
      <c r="S693" s="640"/>
      <c r="T693" s="640"/>
      <c r="U693" s="640"/>
      <c r="V693" s="640"/>
      <c r="W693" s="640"/>
      <c r="X693" s="640"/>
      <c r="Y693" s="640"/>
      <c r="Z693" s="640"/>
      <c r="AA693" s="640"/>
      <c r="AB693" s="640"/>
      <c r="AC693" s="640"/>
      <c r="AD693" s="536"/>
      <c r="AE693" s="592"/>
      <c r="AF693" s="536"/>
      <c r="AG693" s="536"/>
      <c r="AH693" s="536"/>
      <c r="AI693" s="536"/>
      <c r="AJ693" s="536"/>
      <c r="AK693" s="536"/>
      <c r="AL693" s="536"/>
      <c r="AM693" s="594"/>
      <c r="AN693" s="595"/>
      <c r="AO693" s="549" t="s">
        <v>591</v>
      </c>
      <c r="AP693" s="635">
        <v>0</v>
      </c>
    </row>
    <row r="694" spans="1:50" s="549" customFormat="1" ht="12.75" customHeight="1">
      <c r="A694" s="675"/>
      <c r="B694" s="536"/>
      <c r="C694" s="927"/>
      <c r="D694" s="659" t="s">
        <v>1403</v>
      </c>
      <c r="E694" s="2387" t="s">
        <v>1416</v>
      </c>
      <c r="F694" s="2387"/>
      <c r="G694" s="2387"/>
      <c r="H694" s="2387"/>
      <c r="I694" s="2387"/>
      <c r="J694" s="2387"/>
      <c r="K694" s="2387"/>
      <c r="L694" s="2387"/>
      <c r="M694" s="2387"/>
      <c r="N694" s="2387"/>
      <c r="O694" s="2387"/>
      <c r="P694" s="2387"/>
      <c r="Q694" s="2387"/>
      <c r="R694" s="2387"/>
      <c r="S694" s="2387"/>
      <c r="T694" s="2387"/>
      <c r="U694" s="2387"/>
      <c r="V694" s="2387"/>
      <c r="W694" s="2387"/>
      <c r="X694" s="2387"/>
      <c r="Y694" s="2387"/>
      <c r="Z694" s="2387"/>
      <c r="AA694" s="2387"/>
      <c r="AB694" s="2387"/>
      <c r="AC694" s="2387"/>
      <c r="AD694" s="536"/>
      <c r="AE694" s="536"/>
      <c r="AF694" s="2388" t="s">
        <v>1417</v>
      </c>
      <c r="AG694" s="2388"/>
      <c r="AH694" s="2388"/>
      <c r="AI694" s="2388"/>
      <c r="AJ694" s="2388"/>
      <c r="AK694" s="2388"/>
      <c r="AL694" s="2388"/>
      <c r="AM694" s="594"/>
      <c r="AN694" s="595"/>
      <c r="AO694" s="609" t="s">
        <v>687</v>
      </c>
      <c r="AP694" s="549">
        <v>3</v>
      </c>
    </row>
    <row r="695" spans="1:50" s="549" customFormat="1" ht="12.75" customHeight="1">
      <c r="A695" s="675"/>
      <c r="B695" s="536"/>
      <c r="C695" s="927"/>
      <c r="D695" s="659"/>
      <c r="E695" s="2387"/>
      <c r="F695" s="2387"/>
      <c r="G695" s="2387"/>
      <c r="H695" s="2387"/>
      <c r="I695" s="2387"/>
      <c r="J695" s="2387"/>
      <c r="K695" s="2387"/>
      <c r="L695" s="2387"/>
      <c r="M695" s="2387"/>
      <c r="N695" s="2387"/>
      <c r="O695" s="2387"/>
      <c r="P695" s="2387"/>
      <c r="Q695" s="2387"/>
      <c r="R695" s="2387"/>
      <c r="S695" s="2387"/>
      <c r="T695" s="2387"/>
      <c r="U695" s="2387"/>
      <c r="V695" s="2387"/>
      <c r="W695" s="2387"/>
      <c r="X695" s="2387"/>
      <c r="Y695" s="2387"/>
      <c r="Z695" s="2387"/>
      <c r="AA695" s="2387"/>
      <c r="AB695" s="2387"/>
      <c r="AC695" s="2387"/>
      <c r="AD695" s="536"/>
      <c r="AE695" s="536"/>
      <c r="AF695" s="592"/>
      <c r="AG695" s="592"/>
      <c r="AH695" s="592"/>
      <c r="AI695" s="592"/>
      <c r="AJ695" s="592"/>
      <c r="AK695" s="592"/>
      <c r="AL695" s="592"/>
      <c r="AM695" s="594"/>
      <c r="AN695" s="595"/>
      <c r="AO695" s="609" t="s">
        <v>509</v>
      </c>
      <c r="AP695" s="549">
        <v>2</v>
      </c>
    </row>
    <row r="696" spans="1:50" s="549" customFormat="1" ht="12.75" customHeight="1">
      <c r="A696" s="675"/>
      <c r="B696" s="536"/>
      <c r="C696" s="927"/>
      <c r="D696" s="659"/>
      <c r="E696" s="2387"/>
      <c r="F696" s="2387"/>
      <c r="G696" s="2387"/>
      <c r="H696" s="2387"/>
      <c r="I696" s="2387"/>
      <c r="J696" s="2387"/>
      <c r="K696" s="2387"/>
      <c r="L696" s="2387"/>
      <c r="M696" s="2387"/>
      <c r="N696" s="2387"/>
      <c r="O696" s="2387"/>
      <c r="P696" s="2387"/>
      <c r="Q696" s="2387"/>
      <c r="R696" s="2387"/>
      <c r="S696" s="2387"/>
      <c r="T696" s="2387"/>
      <c r="U696" s="2387"/>
      <c r="V696" s="2387"/>
      <c r="W696" s="2387"/>
      <c r="X696" s="2387"/>
      <c r="Y696" s="2387"/>
      <c r="Z696" s="2387"/>
      <c r="AA696" s="2387"/>
      <c r="AB696" s="2387"/>
      <c r="AC696" s="2387"/>
      <c r="AD696" s="536"/>
      <c r="AE696" s="592"/>
      <c r="AF696" s="592"/>
      <c r="AG696" s="592"/>
      <c r="AH696" s="592"/>
      <c r="AI696" s="592"/>
      <c r="AJ696" s="592"/>
      <c r="AK696" s="592"/>
      <c r="AL696" s="592"/>
      <c r="AM696" s="594"/>
      <c r="AN696" s="595"/>
    </row>
    <row r="697" spans="1:50" s="549" customFormat="1" ht="12.75" customHeight="1">
      <c r="A697" s="666"/>
      <c r="B697" s="536"/>
      <c r="C697" s="943"/>
      <c r="D697" s="659"/>
      <c r="E697" s="641"/>
      <c r="F697" s="641"/>
      <c r="G697" s="641"/>
      <c r="H697" s="641"/>
      <c r="I697" s="641"/>
      <c r="J697" s="641"/>
      <c r="K697" s="641"/>
      <c r="L697" s="641"/>
      <c r="M697" s="641"/>
      <c r="N697" s="641"/>
      <c r="O697" s="641"/>
      <c r="P697" s="641"/>
      <c r="Q697" s="641"/>
      <c r="R697" s="641"/>
      <c r="S697" s="641"/>
      <c r="T697" s="641"/>
      <c r="U697" s="641"/>
      <c r="V697" s="641"/>
      <c r="W697" s="641"/>
      <c r="X697" s="641"/>
      <c r="Y697" s="641"/>
      <c r="Z697" s="641"/>
      <c r="AA697" s="641"/>
      <c r="AB697" s="641"/>
      <c r="AC697" s="641"/>
      <c r="AD697" s="536"/>
      <c r="AE697" s="592"/>
      <c r="AF697" s="592"/>
      <c r="AG697" s="592"/>
      <c r="AH697" s="592"/>
      <c r="AI697" s="592"/>
      <c r="AJ697" s="592"/>
      <c r="AK697" s="592"/>
      <c r="AL697" s="592"/>
      <c r="AM697" s="594"/>
      <c r="AN697" s="595"/>
    </row>
    <row r="698" spans="1:50" s="549" customFormat="1" ht="12.75" customHeight="1">
      <c r="A698" s="675"/>
      <c r="B698" s="536"/>
      <c r="C698" s="927"/>
      <c r="D698" s="536" t="s">
        <v>1392</v>
      </c>
      <c r="E698" s="932"/>
      <c r="F698" s="932"/>
      <c r="G698" s="932"/>
      <c r="H698" s="2389" t="s">
        <v>509</v>
      </c>
      <c r="I698" s="2389"/>
      <c r="J698" s="614"/>
      <c r="K698" s="614"/>
      <c r="L698" s="536"/>
      <c r="M698" s="536"/>
      <c r="N698" s="536"/>
      <c r="O698" s="536"/>
      <c r="P698" s="536"/>
      <c r="Q698" s="536"/>
      <c r="R698" s="536"/>
      <c r="S698" s="536"/>
      <c r="T698" s="536"/>
      <c r="U698" s="536"/>
      <c r="V698" s="536"/>
      <c r="W698" s="536"/>
      <c r="X698" s="536"/>
      <c r="Y698" s="536"/>
      <c r="Z698" s="536"/>
      <c r="AA698" s="536"/>
      <c r="AB698" s="536"/>
      <c r="AC698" s="536"/>
      <c r="AD698" s="536"/>
      <c r="AE698" s="536"/>
      <c r="AF698" s="536"/>
      <c r="AG698" s="536"/>
      <c r="AH698" s="536"/>
      <c r="AI698" s="536"/>
      <c r="AJ698" s="536"/>
      <c r="AK698" s="536"/>
      <c r="AL698" s="536"/>
      <c r="AN698" s="595"/>
    </row>
    <row r="699" spans="1:50" s="549" customFormat="1" ht="12.75" customHeight="1">
      <c r="A699" s="675"/>
      <c r="B699" s="536"/>
      <c r="C699" s="927"/>
      <c r="D699" s="536"/>
      <c r="E699" s="932"/>
      <c r="F699" s="932"/>
      <c r="G699" s="614"/>
      <c r="H699" s="614"/>
      <c r="I699" s="614"/>
      <c r="J699" s="614"/>
      <c r="K699" s="614"/>
      <c r="L699" s="614"/>
      <c r="M699" s="614"/>
      <c r="N699" s="614"/>
      <c r="O699" s="614"/>
      <c r="P699" s="614"/>
      <c r="Q699" s="614"/>
      <c r="R699" s="614"/>
      <c r="S699" s="614"/>
      <c r="T699" s="614"/>
      <c r="U699" s="614"/>
      <c r="V699" s="614"/>
      <c r="W699" s="614"/>
      <c r="X699" s="614"/>
      <c r="Y699" s="614"/>
      <c r="Z699" s="932"/>
      <c r="AA699" s="932"/>
      <c r="AB699" s="932"/>
      <c r="AC699" s="536"/>
      <c r="AD699" s="536"/>
      <c r="AE699" s="536"/>
      <c r="AF699" s="536"/>
      <c r="AG699" s="614"/>
      <c r="AH699" s="614"/>
      <c r="AI699" s="614"/>
      <c r="AJ699" s="614"/>
      <c r="AK699" s="614"/>
      <c r="AL699" s="614"/>
      <c r="AM699" s="550"/>
      <c r="AN699" s="595"/>
    </row>
    <row r="700" spans="1:50" s="549" customFormat="1" ht="12.75" customHeight="1">
      <c r="A700" s="679"/>
      <c r="B700" s="599"/>
      <c r="C700" s="940"/>
      <c r="D700" s="599"/>
      <c r="E700" s="935"/>
      <c r="F700" s="661"/>
      <c r="G700" s="661"/>
      <c r="H700" s="661"/>
      <c r="I700" s="661"/>
      <c r="J700" s="661"/>
      <c r="K700" s="661"/>
      <c r="L700" s="661"/>
      <c r="M700" s="661"/>
      <c r="N700" s="661"/>
      <c r="O700" s="661"/>
      <c r="P700" s="661"/>
      <c r="Q700" s="661"/>
      <c r="R700" s="661"/>
      <c r="S700" s="661"/>
      <c r="T700" s="661"/>
      <c r="U700" s="661"/>
      <c r="V700" s="661"/>
      <c r="W700" s="661"/>
      <c r="X700" s="661"/>
      <c r="Y700" s="935"/>
      <c r="Z700" s="935"/>
      <c r="AA700" s="935"/>
      <c r="AB700" s="599"/>
      <c r="AC700" s="599"/>
      <c r="AD700" s="599"/>
      <c r="AE700" s="599"/>
      <c r="AF700" s="599"/>
      <c r="AG700" s="599"/>
      <c r="AH700" s="599"/>
      <c r="AI700" s="563" t="s">
        <v>1418</v>
      </c>
      <c r="AJ700" s="2390">
        <f>VLOOKUP($H$698,$AO$646:$AP$653,2,FALSE)</f>
        <v>4</v>
      </c>
      <c r="AK700" s="2391"/>
      <c r="AL700" s="593"/>
      <c r="AN700" s="595"/>
    </row>
    <row r="701" spans="1:50" s="549" customFormat="1" ht="12.75" customHeight="1">
      <c r="A701" s="675"/>
      <c r="B701" s="536"/>
      <c r="C701" s="927"/>
      <c r="D701" s="536"/>
      <c r="E701" s="614"/>
      <c r="F701" s="614"/>
      <c r="G701" s="614"/>
      <c r="H701" s="614"/>
      <c r="I701" s="614"/>
      <c r="J701" s="614"/>
      <c r="K701" s="614"/>
      <c r="L701" s="614"/>
      <c r="M701" s="614"/>
      <c r="N701" s="614"/>
      <c r="O701" s="614"/>
      <c r="P701" s="614"/>
      <c r="Q701" s="614"/>
      <c r="R701" s="614"/>
      <c r="S701" s="614"/>
      <c r="T701" s="614"/>
      <c r="U701" s="614"/>
      <c r="V701" s="614"/>
      <c r="W701" s="614"/>
      <c r="X701" s="614"/>
      <c r="Y701" s="614"/>
      <c r="Z701" s="614"/>
      <c r="AA701" s="614"/>
      <c r="AB701" s="614"/>
      <c r="AC701" s="614"/>
      <c r="AD701" s="638"/>
      <c r="AE701" s="536"/>
      <c r="AF701" s="536"/>
      <c r="AG701" s="536"/>
      <c r="AH701" s="536"/>
      <c r="AI701" s="536"/>
      <c r="AJ701" s="536"/>
      <c r="AK701" s="536"/>
      <c r="AL701" s="536"/>
      <c r="AN701" s="595"/>
    </row>
    <row r="702" spans="1:50" s="549" customFormat="1" ht="12.75" customHeight="1">
      <c r="A702" s="675"/>
      <c r="B702" s="536"/>
      <c r="C702" s="539" t="s">
        <v>2090</v>
      </c>
      <c r="D702" s="708"/>
      <c r="E702" s="614"/>
      <c r="F702" s="614"/>
      <c r="G702" s="614"/>
      <c r="H702" s="614"/>
      <c r="I702" s="614"/>
      <c r="J702" s="614"/>
      <c r="K702" s="614"/>
      <c r="L702" s="614"/>
      <c r="M702" s="614"/>
      <c r="N702" s="614"/>
      <c r="O702" s="614"/>
      <c r="P702" s="614"/>
      <c r="Q702" s="614"/>
      <c r="R702" s="614"/>
      <c r="S702" s="614"/>
      <c r="T702" s="614"/>
      <c r="U702" s="614"/>
      <c r="V702" s="614"/>
      <c r="W702" s="614"/>
      <c r="X702" s="614"/>
      <c r="Y702" s="614"/>
      <c r="Z702" s="614"/>
      <c r="AA702" s="614"/>
      <c r="AB702" s="614"/>
      <c r="AC702" s="614"/>
      <c r="AD702" s="638"/>
      <c r="AE702" s="536"/>
      <c r="AF702" s="536"/>
      <c r="AG702" s="536"/>
      <c r="AH702" s="536"/>
      <c r="AI702" s="536"/>
      <c r="AJ702" s="536"/>
      <c r="AK702" s="536"/>
      <c r="AL702" s="536"/>
      <c r="AN702" s="595"/>
      <c r="AW702" s="22" t="s">
        <v>2136</v>
      </c>
      <c r="AX702" s="549">
        <f>Application!Q212</f>
        <v>0</v>
      </c>
    </row>
    <row r="703" spans="1:50" s="549" customFormat="1" ht="12.75" customHeight="1">
      <c r="A703" s="675"/>
      <c r="B703" s="536"/>
      <c r="C703" s="944"/>
      <c r="D703" s="536"/>
      <c r="E703" s="536"/>
      <c r="F703" s="536"/>
      <c r="G703" s="536"/>
      <c r="H703" s="536"/>
      <c r="I703" s="536"/>
      <c r="J703" s="536"/>
      <c r="K703" s="536"/>
      <c r="L703" s="536"/>
      <c r="M703" s="536"/>
      <c r="N703" s="536"/>
      <c r="O703" s="536"/>
      <c r="P703" s="536"/>
      <c r="Q703" s="536"/>
      <c r="R703" s="536"/>
      <c r="S703" s="536"/>
      <c r="T703" s="536"/>
      <c r="U703" s="536"/>
      <c r="V703" s="536"/>
      <c r="W703" s="536"/>
      <c r="X703" s="536"/>
      <c r="Y703" s="536"/>
      <c r="Z703" s="536"/>
      <c r="AA703" s="536"/>
      <c r="AB703" s="536"/>
      <c r="AC703" s="536"/>
      <c r="AD703" s="536"/>
      <c r="AE703" s="536"/>
      <c r="AF703" s="536"/>
      <c r="AG703" s="536"/>
      <c r="AH703" s="536"/>
      <c r="AI703" s="536"/>
      <c r="AJ703" s="536"/>
      <c r="AK703" s="536"/>
      <c r="AL703" s="536"/>
      <c r="AN703" s="595"/>
      <c r="AW703" s="22" t="s">
        <v>2137</v>
      </c>
      <c r="AX703" s="1146">
        <f>Application!G761</f>
        <v>48</v>
      </c>
    </row>
    <row r="704" spans="1:50" s="549" customFormat="1" ht="12.75" customHeight="1">
      <c r="A704" s="675"/>
      <c r="B704" s="536"/>
      <c r="C704" s="944"/>
      <c r="D704" s="659" t="s">
        <v>687</v>
      </c>
      <c r="E704" s="2393" t="s">
        <v>2143</v>
      </c>
      <c r="F704" s="2393"/>
      <c r="G704" s="2393"/>
      <c r="H704" s="2393"/>
      <c r="I704" s="2393"/>
      <c r="J704" s="2393"/>
      <c r="K704" s="2393"/>
      <c r="L704" s="2393"/>
      <c r="M704" s="2393"/>
      <c r="N704" s="2393"/>
      <c r="O704" s="2393"/>
      <c r="P704" s="2393"/>
      <c r="Q704" s="2393"/>
      <c r="R704" s="2393"/>
      <c r="S704" s="2393"/>
      <c r="T704" s="2393"/>
      <c r="U704" s="2393"/>
      <c r="V704" s="2393"/>
      <c r="W704" s="2393"/>
      <c r="X704" s="2393"/>
      <c r="Y704" s="2393"/>
      <c r="Z704" s="2393"/>
      <c r="AA704" s="2393"/>
      <c r="AB704" s="2393"/>
      <c r="AC704" s="536"/>
      <c r="AD704" s="536"/>
      <c r="AE704" s="536"/>
      <c r="AF704" s="2388" t="s">
        <v>1346</v>
      </c>
      <c r="AG704" s="2388"/>
      <c r="AH704" s="2388"/>
      <c r="AI704" s="2388"/>
      <c r="AJ704" s="2388"/>
      <c r="AK704" s="2388"/>
      <c r="AL704" s="2388"/>
      <c r="AN704" s="595"/>
      <c r="AW704" s="22" t="s">
        <v>2138</v>
      </c>
      <c r="AX704" s="549">
        <f>Application!DE761</f>
        <v>0</v>
      </c>
    </row>
    <row r="705" spans="1:51" s="549" customFormat="1" ht="12.75" customHeight="1">
      <c r="A705" s="675"/>
      <c r="B705" s="536"/>
      <c r="C705" s="944"/>
      <c r="D705" s="659"/>
      <c r="E705" s="2393"/>
      <c r="F705" s="2393"/>
      <c r="G705" s="2393"/>
      <c r="H705" s="2393"/>
      <c r="I705" s="2393"/>
      <c r="J705" s="2393"/>
      <c r="K705" s="2393"/>
      <c r="L705" s="2393"/>
      <c r="M705" s="2393"/>
      <c r="N705" s="2393"/>
      <c r="O705" s="2393"/>
      <c r="P705" s="2393"/>
      <c r="Q705" s="2393"/>
      <c r="R705" s="2393"/>
      <c r="S705" s="2393"/>
      <c r="T705" s="2393"/>
      <c r="U705" s="2393"/>
      <c r="V705" s="2393"/>
      <c r="W705" s="2393"/>
      <c r="X705" s="2393"/>
      <c r="Y705" s="2393"/>
      <c r="Z705" s="2393"/>
      <c r="AA705" s="2393"/>
      <c r="AB705" s="2393"/>
      <c r="AC705" s="536"/>
      <c r="AD705" s="536"/>
      <c r="AE705" s="536"/>
      <c r="AF705" s="536"/>
      <c r="AG705" s="536"/>
      <c r="AH705" s="536"/>
      <c r="AI705" s="536"/>
      <c r="AJ705" s="536"/>
      <c r="AK705" s="536"/>
      <c r="AL705" s="536"/>
      <c r="AN705" s="595"/>
      <c r="AW705" s="22" t="s">
        <v>2139</v>
      </c>
      <c r="AX705" s="549">
        <f>Application!DJ761</f>
        <v>0</v>
      </c>
    </row>
    <row r="706" spans="1:51" s="549" customFormat="1" ht="12.75" customHeight="1">
      <c r="A706" s="675"/>
      <c r="B706" s="536"/>
      <c r="C706" s="944"/>
      <c r="D706" s="659"/>
      <c r="E706" s="536"/>
      <c r="F706" s="536"/>
      <c r="G706" s="536"/>
      <c r="H706" s="536"/>
      <c r="I706" s="536"/>
      <c r="J706" s="536"/>
      <c r="K706" s="536"/>
      <c r="L706" s="536"/>
      <c r="M706" s="536"/>
      <c r="N706" s="536"/>
      <c r="O706" s="536"/>
      <c r="P706" s="536"/>
      <c r="Q706" s="536"/>
      <c r="R706" s="536"/>
      <c r="S706" s="536"/>
      <c r="T706" s="536"/>
      <c r="U706" s="536"/>
      <c r="V706" s="536"/>
      <c r="W706" s="536"/>
      <c r="X706" s="536"/>
      <c r="Y706" s="536"/>
      <c r="Z706" s="536"/>
      <c r="AA706" s="536"/>
      <c r="AB706" s="536"/>
      <c r="AC706" s="536"/>
      <c r="AD706" s="536"/>
      <c r="AE706" s="536"/>
      <c r="AF706" s="536"/>
      <c r="AG706" s="536"/>
      <c r="AH706" s="536"/>
      <c r="AI706" s="536"/>
      <c r="AJ706" s="536"/>
      <c r="AK706" s="536"/>
      <c r="AL706" s="536"/>
      <c r="AN706" s="595"/>
      <c r="AW706" s="22" t="s">
        <v>2140</v>
      </c>
      <c r="AX706" s="549">
        <f>Application!DO761</f>
        <v>0</v>
      </c>
    </row>
    <row r="707" spans="1:51" s="549" customFormat="1" ht="12.75" customHeight="1">
      <c r="B707" s="536"/>
      <c r="C707" s="927"/>
      <c r="D707" s="659" t="s">
        <v>509</v>
      </c>
      <c r="E707" s="2387" t="s">
        <v>2088</v>
      </c>
      <c r="F707" s="2387"/>
      <c r="G707" s="2387"/>
      <c r="H707" s="2387"/>
      <c r="I707" s="2387"/>
      <c r="J707" s="2387"/>
      <c r="K707" s="2387"/>
      <c r="L707" s="2387"/>
      <c r="M707" s="2387"/>
      <c r="N707" s="2387"/>
      <c r="O707" s="2387"/>
      <c r="P707" s="2387"/>
      <c r="Q707" s="2387"/>
      <c r="R707" s="2387"/>
      <c r="S707" s="2387"/>
      <c r="T707" s="2387"/>
      <c r="U707" s="2387"/>
      <c r="V707" s="2387"/>
      <c r="W707" s="2387"/>
      <c r="X707" s="2387"/>
      <c r="Y707" s="2387"/>
      <c r="Z707" s="2387"/>
      <c r="AA707" s="2387"/>
      <c r="AB707" s="2387"/>
      <c r="AC707" s="536"/>
      <c r="AD707" s="536"/>
      <c r="AE707" s="536"/>
      <c r="AF707" s="2388" t="s">
        <v>1346</v>
      </c>
      <c r="AG707" s="2388"/>
      <c r="AH707" s="2388"/>
      <c r="AI707" s="2388"/>
      <c r="AJ707" s="2388"/>
      <c r="AK707" s="2388"/>
      <c r="AL707" s="2388"/>
      <c r="AN707" s="595"/>
      <c r="AW707" s="22" t="s">
        <v>2141</v>
      </c>
      <c r="AX707" s="549">
        <f>AX704+AX705+AX706</f>
        <v>0</v>
      </c>
    </row>
    <row r="708" spans="1:51" s="549" customFormat="1" ht="12.75" customHeight="1">
      <c r="B708" s="536"/>
      <c r="C708" s="936"/>
      <c r="D708" s="659"/>
      <c r="E708" s="2387"/>
      <c r="F708" s="2387"/>
      <c r="G708" s="2387"/>
      <c r="H708" s="2387"/>
      <c r="I708" s="2387"/>
      <c r="J708" s="2387"/>
      <c r="K708" s="2387"/>
      <c r="L708" s="2387"/>
      <c r="M708" s="2387"/>
      <c r="N708" s="2387"/>
      <c r="O708" s="2387"/>
      <c r="P708" s="2387"/>
      <c r="Q708" s="2387"/>
      <c r="R708" s="2387"/>
      <c r="S708" s="2387"/>
      <c r="T708" s="2387"/>
      <c r="U708" s="2387"/>
      <c r="V708" s="2387"/>
      <c r="W708" s="2387"/>
      <c r="X708" s="2387"/>
      <c r="Y708" s="2387"/>
      <c r="Z708" s="2387"/>
      <c r="AA708" s="2387"/>
      <c r="AB708" s="2387"/>
      <c r="AC708" s="536"/>
      <c r="AD708" s="536"/>
      <c r="AE708" s="614"/>
      <c r="AF708" s="536"/>
      <c r="AG708" s="536"/>
      <c r="AH708" s="536"/>
      <c r="AI708" s="536"/>
      <c r="AJ708" s="536"/>
      <c r="AK708" s="536"/>
      <c r="AL708" s="536"/>
      <c r="AN708" s="595"/>
      <c r="AO708" s="2457" t="b">
        <f>IF(Application!D211="Special Needs",IF(AY708&gt;=0.25,TRUE,FALSE),IF(AX708&gt;=0.25,TRUE,FALSE))</f>
        <v>0</v>
      </c>
      <c r="AP708" s="2457"/>
      <c r="AW708" s="22" t="s">
        <v>2142</v>
      </c>
      <c r="AX708" s="549">
        <f>IFERROR(AX707/AX703,0)</f>
        <v>0</v>
      </c>
      <c r="AY708" s="549">
        <f>IFERROR(AX707/(AX703-AX702),0)</f>
        <v>0</v>
      </c>
    </row>
    <row r="709" spans="1:51" s="549" customFormat="1" ht="12.75" customHeight="1">
      <c r="B709" s="536"/>
      <c r="C709" s="936"/>
      <c r="E709" s="2387"/>
      <c r="F709" s="2387"/>
      <c r="G709" s="2387"/>
      <c r="H709" s="2387"/>
      <c r="I709" s="2387"/>
      <c r="J709" s="2387"/>
      <c r="K709" s="2387"/>
      <c r="L709" s="2387"/>
      <c r="M709" s="2387"/>
      <c r="N709" s="2387"/>
      <c r="O709" s="2387"/>
      <c r="P709" s="2387"/>
      <c r="Q709" s="2387"/>
      <c r="R709" s="2387"/>
      <c r="S709" s="2387"/>
      <c r="T709" s="2387"/>
      <c r="U709" s="2387"/>
      <c r="V709" s="2387"/>
      <c r="W709" s="2387"/>
      <c r="X709" s="2387"/>
      <c r="Y709" s="2387"/>
      <c r="Z709" s="2387"/>
      <c r="AA709" s="2387"/>
      <c r="AB709" s="2387"/>
      <c r="AC709" s="536"/>
      <c r="AD709" s="536"/>
      <c r="AE709" s="614"/>
      <c r="AF709" s="614"/>
      <c r="AG709" s="614"/>
      <c r="AH709" s="614"/>
      <c r="AI709" s="614"/>
      <c r="AJ709" s="614"/>
      <c r="AK709" s="614"/>
      <c r="AL709" s="614"/>
      <c r="AN709" s="595"/>
      <c r="AW709" s="14"/>
    </row>
    <row r="710" spans="1:51" s="549" customFormat="1" ht="28.5" customHeight="1">
      <c r="B710" s="536"/>
      <c r="C710" s="936"/>
      <c r="D710" s="536"/>
      <c r="E710" s="2387"/>
      <c r="F710" s="2387"/>
      <c r="G710" s="2387"/>
      <c r="H710" s="2387"/>
      <c r="I710" s="2387"/>
      <c r="J710" s="2387"/>
      <c r="K710" s="2387"/>
      <c r="L710" s="2387"/>
      <c r="M710" s="2387"/>
      <c r="N710" s="2387"/>
      <c r="O710" s="2387"/>
      <c r="P710" s="2387"/>
      <c r="Q710" s="2387"/>
      <c r="R710" s="2387"/>
      <c r="S710" s="2387"/>
      <c r="T710" s="2387"/>
      <c r="U710" s="2387"/>
      <c r="V710" s="2387"/>
      <c r="W710" s="2387"/>
      <c r="X710" s="2387"/>
      <c r="Y710" s="2387"/>
      <c r="Z710" s="2387"/>
      <c r="AA710" s="2387"/>
      <c r="AB710" s="2387"/>
      <c r="AC710" s="536"/>
      <c r="AD710" s="536"/>
      <c r="AE710" s="614"/>
      <c r="AF710" s="614"/>
      <c r="AG710" s="614"/>
      <c r="AH710" s="614"/>
      <c r="AI710" s="614"/>
      <c r="AJ710" s="614"/>
      <c r="AK710" s="614"/>
      <c r="AL710" s="614"/>
      <c r="AN710" s="595"/>
      <c r="AO710" s="549" t="s">
        <v>591</v>
      </c>
      <c r="AP710" s="669">
        <v>0</v>
      </c>
    </row>
    <row r="711" spans="1:51" s="549" customFormat="1" ht="12.75" customHeight="1">
      <c r="B711" s="536"/>
      <c r="C711" s="936"/>
      <c r="E711" s="573"/>
      <c r="F711" s="573"/>
      <c r="G711" s="573"/>
      <c r="H711" s="573"/>
      <c r="I711" s="573"/>
      <c r="J711" s="573"/>
      <c r="K711" s="573"/>
      <c r="L711" s="573"/>
      <c r="M711" s="573"/>
      <c r="N711" s="573"/>
      <c r="O711" s="573"/>
      <c r="P711" s="573"/>
      <c r="Q711" s="573"/>
      <c r="R711" s="573"/>
      <c r="S711" s="573"/>
      <c r="T711" s="573"/>
      <c r="U711" s="573"/>
      <c r="V711" s="573"/>
      <c r="W711" s="573"/>
      <c r="X711" s="573"/>
      <c r="Y711" s="573"/>
      <c r="Z711" s="573"/>
      <c r="AA711" s="573"/>
      <c r="AB711" s="573"/>
      <c r="AC711" s="536"/>
      <c r="AD711" s="536"/>
      <c r="AE711" s="614"/>
      <c r="AF711" s="614"/>
      <c r="AG711" s="614"/>
      <c r="AH711" s="614"/>
      <c r="AI711" s="614"/>
      <c r="AJ711" s="614"/>
      <c r="AK711" s="614"/>
      <c r="AL711" s="614"/>
      <c r="AN711" s="595"/>
      <c r="AO711" s="609" t="s">
        <v>687</v>
      </c>
      <c r="AP711" s="549">
        <v>2</v>
      </c>
    </row>
    <row r="712" spans="1:51" s="549" customFormat="1" ht="12.75" customHeight="1">
      <c r="B712" s="536"/>
      <c r="C712" s="927"/>
      <c r="D712" s="659" t="s">
        <v>278</v>
      </c>
      <c r="E712" s="2387" t="s">
        <v>2089</v>
      </c>
      <c r="F712" s="2387"/>
      <c r="G712" s="2387"/>
      <c r="H712" s="2387"/>
      <c r="I712" s="2387"/>
      <c r="J712" s="2387"/>
      <c r="K712" s="2387"/>
      <c r="L712" s="2387"/>
      <c r="M712" s="2387"/>
      <c r="N712" s="2387"/>
      <c r="O712" s="2387"/>
      <c r="P712" s="2387"/>
      <c r="Q712" s="2387"/>
      <c r="R712" s="2387"/>
      <c r="S712" s="2387"/>
      <c r="T712" s="2387"/>
      <c r="U712" s="2387"/>
      <c r="V712" s="2387"/>
      <c r="W712" s="2387"/>
      <c r="X712" s="2387"/>
      <c r="Y712" s="2387"/>
      <c r="Z712" s="2387"/>
      <c r="AA712" s="2387"/>
      <c r="AB712" s="2387"/>
      <c r="AC712" s="536"/>
      <c r="AD712" s="536"/>
      <c r="AE712" s="536"/>
      <c r="AF712" s="2388" t="s">
        <v>1400</v>
      </c>
      <c r="AG712" s="2388"/>
      <c r="AH712" s="2388"/>
      <c r="AI712" s="2388"/>
      <c r="AJ712" s="2388"/>
      <c r="AK712" s="2388"/>
      <c r="AL712" s="2388"/>
      <c r="AN712" s="595"/>
      <c r="AO712" s="609" t="s">
        <v>509</v>
      </c>
      <c r="AP712" s="549">
        <v>1</v>
      </c>
    </row>
    <row r="713" spans="1:51" s="549" customFormat="1" ht="12" customHeight="1">
      <c r="B713" s="536"/>
      <c r="C713" s="927"/>
      <c r="E713" s="2387"/>
      <c r="F713" s="2387"/>
      <c r="G713" s="2387"/>
      <c r="H713" s="2387"/>
      <c r="I713" s="2387"/>
      <c r="J713" s="2387"/>
      <c r="K713" s="2387"/>
      <c r="L713" s="2387"/>
      <c r="M713" s="2387"/>
      <c r="N713" s="2387"/>
      <c r="O713" s="2387"/>
      <c r="P713" s="2387"/>
      <c r="Q713" s="2387"/>
      <c r="R713" s="2387"/>
      <c r="S713" s="2387"/>
      <c r="T713" s="2387"/>
      <c r="U713" s="2387"/>
      <c r="V713" s="2387"/>
      <c r="W713" s="2387"/>
      <c r="X713" s="2387"/>
      <c r="Y713" s="2387"/>
      <c r="Z713" s="2387"/>
      <c r="AA713" s="2387"/>
      <c r="AB713" s="2387"/>
      <c r="AC713" s="536"/>
      <c r="AD713" s="536"/>
      <c r="AE713" s="614"/>
      <c r="AF713" s="536"/>
      <c r="AG713" s="536"/>
      <c r="AH713" s="536"/>
      <c r="AI713" s="536"/>
      <c r="AJ713" s="536"/>
      <c r="AK713" s="536"/>
      <c r="AL713" s="536"/>
      <c r="AN713" s="595"/>
    </row>
    <row r="714" spans="1:51" s="549" customFormat="1" ht="12" customHeight="1">
      <c r="B714" s="536"/>
      <c r="C714" s="927"/>
      <c r="D714" s="536"/>
      <c r="E714" s="2387"/>
      <c r="F714" s="2387"/>
      <c r="G714" s="2387"/>
      <c r="H714" s="2387"/>
      <c r="I714" s="2387"/>
      <c r="J714" s="2387"/>
      <c r="K714" s="2387"/>
      <c r="L714" s="2387"/>
      <c r="M714" s="2387"/>
      <c r="N714" s="2387"/>
      <c r="O714" s="2387"/>
      <c r="P714" s="2387"/>
      <c r="Q714" s="2387"/>
      <c r="R714" s="2387"/>
      <c r="S714" s="2387"/>
      <c r="T714" s="2387"/>
      <c r="U714" s="2387"/>
      <c r="V714" s="2387"/>
      <c r="W714" s="2387"/>
      <c r="X714" s="2387"/>
      <c r="Y714" s="2387"/>
      <c r="Z714" s="2387"/>
      <c r="AA714" s="2387"/>
      <c r="AB714" s="2387"/>
      <c r="AC714" s="536"/>
      <c r="AD714" s="536"/>
      <c r="AE714" s="614"/>
      <c r="AF714" s="536"/>
      <c r="AG714" s="536"/>
      <c r="AH714" s="536"/>
      <c r="AI714" s="536"/>
      <c r="AJ714" s="536"/>
      <c r="AK714" s="536"/>
      <c r="AL714" s="536"/>
      <c r="AN714" s="595"/>
    </row>
    <row r="715" spans="1:51" s="549" customFormat="1" ht="12" customHeight="1">
      <c r="B715" s="536"/>
      <c r="C715" s="927"/>
      <c r="D715" s="536"/>
      <c r="E715" s="2387"/>
      <c r="F715" s="2387"/>
      <c r="G715" s="2387"/>
      <c r="H715" s="2387"/>
      <c r="I715" s="2387"/>
      <c r="J715" s="2387"/>
      <c r="K715" s="2387"/>
      <c r="L715" s="2387"/>
      <c r="M715" s="2387"/>
      <c r="N715" s="2387"/>
      <c r="O715" s="2387"/>
      <c r="P715" s="2387"/>
      <c r="Q715" s="2387"/>
      <c r="R715" s="2387"/>
      <c r="S715" s="2387"/>
      <c r="T715" s="2387"/>
      <c r="U715" s="2387"/>
      <c r="V715" s="2387"/>
      <c r="W715" s="2387"/>
      <c r="X715" s="2387"/>
      <c r="Y715" s="2387"/>
      <c r="Z715" s="2387"/>
      <c r="AA715" s="2387"/>
      <c r="AB715" s="2387"/>
      <c r="AC715" s="536"/>
      <c r="AD715" s="536"/>
      <c r="AE715" s="614"/>
      <c r="AF715" s="536"/>
      <c r="AG715" s="536"/>
      <c r="AH715" s="536"/>
      <c r="AI715" s="536"/>
      <c r="AJ715" s="536"/>
      <c r="AK715" s="536"/>
      <c r="AL715" s="536"/>
      <c r="AN715" s="595"/>
    </row>
    <row r="716" spans="1:51" s="568" customFormat="1" ht="12.95" customHeight="1">
      <c r="A716" s="549"/>
      <c r="B716" s="536"/>
      <c r="C716" s="927"/>
      <c r="D716" s="536"/>
      <c r="E716" s="2387"/>
      <c r="F716" s="2387"/>
      <c r="G716" s="2387"/>
      <c r="H716" s="2387"/>
      <c r="I716" s="2387"/>
      <c r="J716" s="2387"/>
      <c r="K716" s="2387"/>
      <c r="L716" s="2387"/>
      <c r="M716" s="2387"/>
      <c r="N716" s="2387"/>
      <c r="O716" s="2387"/>
      <c r="P716" s="2387"/>
      <c r="Q716" s="2387"/>
      <c r="R716" s="2387"/>
      <c r="S716" s="2387"/>
      <c r="T716" s="2387"/>
      <c r="U716" s="2387"/>
      <c r="V716" s="2387"/>
      <c r="W716" s="2387"/>
      <c r="X716" s="2387"/>
      <c r="Y716" s="2387"/>
      <c r="Z716" s="2387"/>
      <c r="AA716" s="2387"/>
      <c r="AB716" s="2387"/>
      <c r="AC716" s="536"/>
      <c r="AD716" s="536"/>
      <c r="AE716" s="614"/>
      <c r="AF716" s="614"/>
      <c r="AG716" s="614"/>
      <c r="AH716" s="614"/>
      <c r="AI716" s="614"/>
      <c r="AJ716" s="536"/>
      <c r="AK716" s="536"/>
      <c r="AL716" s="536"/>
      <c r="AM716" s="549"/>
      <c r="AN716" s="680"/>
      <c r="AO716" s="549" t="s">
        <v>591</v>
      </c>
      <c r="AP716" s="669">
        <v>0</v>
      </c>
    </row>
    <row r="717" spans="1:51" s="568" customFormat="1" ht="12" customHeight="1">
      <c r="A717" s="549"/>
      <c r="B717" s="536"/>
      <c r="C717" s="927"/>
      <c r="D717" s="536"/>
      <c r="E717" s="641"/>
      <c r="F717" s="641"/>
      <c r="G717" s="641"/>
      <c r="H717" s="641"/>
      <c r="I717" s="641"/>
      <c r="J717" s="641"/>
      <c r="K717" s="641"/>
      <c r="L717" s="641"/>
      <c r="M717" s="641"/>
      <c r="N717" s="641"/>
      <c r="O717" s="641"/>
      <c r="P717" s="641"/>
      <c r="Q717" s="641"/>
      <c r="R717" s="641"/>
      <c r="S717" s="641"/>
      <c r="T717" s="641"/>
      <c r="U717" s="641"/>
      <c r="V717" s="641"/>
      <c r="W717" s="641"/>
      <c r="X717" s="641"/>
      <c r="Y717" s="641"/>
      <c r="Z717" s="641"/>
      <c r="AA717" s="641"/>
      <c r="AB717" s="641"/>
      <c r="AC717" s="536"/>
      <c r="AD717" s="536"/>
      <c r="AE717" s="614"/>
      <c r="AF717" s="614"/>
      <c r="AG717" s="614"/>
      <c r="AH717" s="614"/>
      <c r="AI717" s="614"/>
      <c r="AJ717" s="536"/>
      <c r="AK717" s="536"/>
      <c r="AL717" s="536"/>
      <c r="AM717" s="549"/>
      <c r="AN717" s="680"/>
      <c r="AO717" s="609" t="s">
        <v>687</v>
      </c>
      <c r="AP717" s="549">
        <v>3</v>
      </c>
    </row>
    <row r="718" spans="1:51" s="568" customFormat="1" ht="12.75" customHeight="1">
      <c r="A718" s="549"/>
      <c r="B718" s="536"/>
      <c r="C718" s="927"/>
      <c r="D718" s="536"/>
      <c r="E718" s="2387" t="s">
        <v>1682</v>
      </c>
      <c r="F718" s="2387"/>
      <c r="G718" s="2387"/>
      <c r="H718" s="2387"/>
      <c r="I718" s="2387"/>
      <c r="J718" s="2387"/>
      <c r="K718" s="2387"/>
      <c r="L718" s="2387"/>
      <c r="M718" s="2387"/>
      <c r="N718" s="2387"/>
      <c r="O718" s="2387"/>
      <c r="P718" s="2387"/>
      <c r="Q718" s="2387"/>
      <c r="R718" s="2387"/>
      <c r="S718" s="2387"/>
      <c r="T718" s="2387"/>
      <c r="U718" s="2387"/>
      <c r="V718" s="2387"/>
      <c r="W718" s="2387"/>
      <c r="X718" s="2387"/>
      <c r="Y718" s="2387"/>
      <c r="Z718" s="2387"/>
      <c r="AA718" s="2387"/>
      <c r="AB718" s="2387"/>
      <c r="AC718" s="536"/>
      <c r="AD718" s="536"/>
      <c r="AE718" s="614"/>
      <c r="AF718" s="614"/>
      <c r="AG718" s="614"/>
      <c r="AH718" s="614"/>
      <c r="AI718" s="614"/>
      <c r="AJ718" s="536"/>
      <c r="AK718" s="536"/>
      <c r="AL718" s="536"/>
      <c r="AM718" s="549"/>
      <c r="AN718" s="680"/>
      <c r="AO718" s="609" t="s">
        <v>509</v>
      </c>
      <c r="AP718" s="549">
        <f>3*$AO$708</f>
        <v>0</v>
      </c>
    </row>
    <row r="719" spans="1:51" s="568" customFormat="1" ht="12.75" customHeight="1">
      <c r="A719" s="549"/>
      <c r="B719" s="536"/>
      <c r="C719" s="927"/>
      <c r="D719" s="536"/>
      <c r="E719" s="2387"/>
      <c r="F719" s="2387"/>
      <c r="G719" s="2387"/>
      <c r="H719" s="2387"/>
      <c r="I719" s="2387"/>
      <c r="J719" s="2387"/>
      <c r="K719" s="2387"/>
      <c r="L719" s="2387"/>
      <c r="M719" s="2387"/>
      <c r="N719" s="2387"/>
      <c r="O719" s="2387"/>
      <c r="P719" s="2387"/>
      <c r="Q719" s="2387"/>
      <c r="R719" s="2387"/>
      <c r="S719" s="2387"/>
      <c r="T719" s="2387"/>
      <c r="U719" s="2387"/>
      <c r="V719" s="2387"/>
      <c r="W719" s="2387"/>
      <c r="X719" s="2387"/>
      <c r="Y719" s="2387"/>
      <c r="Z719" s="2387"/>
      <c r="AA719" s="2387"/>
      <c r="AB719" s="2387"/>
      <c r="AC719" s="536"/>
      <c r="AD719" s="536"/>
      <c r="AE719" s="614"/>
      <c r="AF719" s="614"/>
      <c r="AG719" s="614"/>
      <c r="AH719" s="614"/>
      <c r="AI719" s="614"/>
      <c r="AJ719" s="536"/>
      <c r="AK719" s="536"/>
      <c r="AL719" s="536"/>
      <c r="AM719" s="549"/>
      <c r="AN719" s="680"/>
      <c r="AO719" s="609" t="s">
        <v>278</v>
      </c>
      <c r="AP719" s="549">
        <f>2*$AO$708</f>
        <v>0</v>
      </c>
    </row>
    <row r="720" spans="1:51" s="568" customFormat="1" ht="12.75" customHeight="1">
      <c r="A720" s="549"/>
      <c r="B720" s="536"/>
      <c r="C720" s="927"/>
      <c r="D720" s="536"/>
      <c r="E720" s="2387"/>
      <c r="F720" s="2387"/>
      <c r="G720" s="2387"/>
      <c r="H720" s="2387"/>
      <c r="I720" s="2387"/>
      <c r="J720" s="2387"/>
      <c r="K720" s="2387"/>
      <c r="L720" s="2387"/>
      <c r="M720" s="2387"/>
      <c r="N720" s="2387"/>
      <c r="O720" s="2387"/>
      <c r="P720" s="2387"/>
      <c r="Q720" s="2387"/>
      <c r="R720" s="2387"/>
      <c r="S720" s="2387"/>
      <c r="T720" s="2387"/>
      <c r="U720" s="2387"/>
      <c r="V720" s="2387"/>
      <c r="W720" s="2387"/>
      <c r="X720" s="2387"/>
      <c r="Y720" s="2387"/>
      <c r="Z720" s="2387"/>
      <c r="AA720" s="2387"/>
      <c r="AB720" s="2387"/>
      <c r="AC720" s="536"/>
      <c r="AD720" s="536"/>
      <c r="AE720" s="614"/>
      <c r="AF720" s="614"/>
      <c r="AG720" s="614"/>
      <c r="AH720" s="614"/>
      <c r="AI720" s="614"/>
      <c r="AJ720" s="536"/>
      <c r="AK720" s="536"/>
      <c r="AL720" s="536"/>
      <c r="AM720" s="549"/>
      <c r="AN720" s="680"/>
    </row>
    <row r="721" spans="1:43" s="568" customFormat="1" ht="12.75" customHeight="1">
      <c r="A721" s="549"/>
      <c r="B721" s="536"/>
      <c r="C721" s="927"/>
      <c r="D721" s="536"/>
      <c r="E721" s="641"/>
      <c r="F721" s="641"/>
      <c r="G721" s="641"/>
      <c r="H721" s="641"/>
      <c r="I721" s="641"/>
      <c r="J721" s="641"/>
      <c r="K721" s="641"/>
      <c r="L721" s="641"/>
      <c r="M721" s="641"/>
      <c r="N721" s="641"/>
      <c r="O721" s="641"/>
      <c r="P721" s="641"/>
      <c r="Q721" s="641"/>
      <c r="R721" s="641"/>
      <c r="S721" s="641"/>
      <c r="T721" s="641"/>
      <c r="U721" s="641"/>
      <c r="V721" s="641"/>
      <c r="W721" s="641"/>
      <c r="X721" s="641"/>
      <c r="Y721" s="641"/>
      <c r="Z721" s="641"/>
      <c r="AA721" s="641"/>
      <c r="AB721" s="641"/>
      <c r="AC721" s="536"/>
      <c r="AD721" s="536"/>
      <c r="AE721" s="614"/>
      <c r="AF721" s="614"/>
      <c r="AG721" s="614"/>
      <c r="AH721" s="614"/>
      <c r="AI721" s="614"/>
      <c r="AJ721" s="536"/>
      <c r="AK721" s="536"/>
      <c r="AL721" s="536"/>
      <c r="AM721" s="549"/>
      <c r="AN721" s="680"/>
    </row>
    <row r="722" spans="1:43" s="568" customFormat="1" ht="12.75" customHeight="1">
      <c r="A722" s="549"/>
      <c r="B722" s="536"/>
      <c r="C722" s="927"/>
      <c r="D722" s="536" t="s">
        <v>1392</v>
      </c>
      <c r="E722" s="932"/>
      <c r="F722" s="932"/>
      <c r="G722" s="932"/>
      <c r="H722" s="2389" t="s">
        <v>591</v>
      </c>
      <c r="I722" s="2389"/>
      <c r="J722" s="641"/>
      <c r="K722" s="641"/>
      <c r="L722" s="641"/>
      <c r="M722" s="641"/>
      <c r="N722" s="641"/>
      <c r="O722" s="641"/>
      <c r="P722" s="641"/>
      <c r="Q722" s="641"/>
      <c r="R722" s="641"/>
      <c r="S722" s="641"/>
      <c r="T722" s="641"/>
      <c r="U722" s="641"/>
      <c r="V722" s="641"/>
      <c r="W722" s="641"/>
      <c r="X722" s="641"/>
      <c r="Y722" s="641"/>
      <c r="Z722" s="641"/>
      <c r="AA722" s="641"/>
      <c r="AB722" s="641"/>
      <c r="AC722" s="536"/>
      <c r="AD722" s="536"/>
      <c r="AE722" s="614"/>
      <c r="AF722" s="614"/>
      <c r="AG722" s="614"/>
      <c r="AH722" s="614"/>
      <c r="AI722" s="614"/>
      <c r="AJ722" s="536"/>
      <c r="AK722" s="536"/>
      <c r="AL722" s="536"/>
      <c r="AM722" s="549"/>
      <c r="AN722" s="680"/>
      <c r="AP722" s="568" t="s">
        <v>1419</v>
      </c>
    </row>
    <row r="723" spans="1:43" s="568" customFormat="1">
      <c r="A723" s="549"/>
      <c r="B723" s="536"/>
      <c r="C723" s="927"/>
      <c r="D723" s="536"/>
      <c r="E723" s="641"/>
      <c r="F723" s="641"/>
      <c r="G723" s="641"/>
      <c r="H723" s="641"/>
      <c r="I723" s="641"/>
      <c r="J723" s="641"/>
      <c r="K723" s="641"/>
      <c r="L723" s="641"/>
      <c r="M723" s="641"/>
      <c r="N723" s="641"/>
      <c r="O723" s="641"/>
      <c r="P723" s="641"/>
      <c r="Q723" s="641"/>
      <c r="R723" s="641"/>
      <c r="S723" s="641"/>
      <c r="T723" s="641"/>
      <c r="U723" s="641"/>
      <c r="V723" s="641"/>
      <c r="W723" s="641"/>
      <c r="X723" s="641"/>
      <c r="Y723" s="641"/>
      <c r="Z723" s="641"/>
      <c r="AA723" s="641"/>
      <c r="AB723" s="641"/>
      <c r="AC723" s="536"/>
      <c r="AD723" s="536"/>
      <c r="AE723" s="614"/>
      <c r="AF723" s="614"/>
      <c r="AG723" s="614"/>
      <c r="AH723" s="614"/>
      <c r="AI723" s="614"/>
      <c r="AJ723" s="536"/>
      <c r="AK723" s="536"/>
      <c r="AL723" s="536"/>
      <c r="AM723" s="549"/>
      <c r="AN723" s="680"/>
      <c r="AP723" s="568" t="s">
        <v>1397</v>
      </c>
    </row>
    <row r="724" spans="1:43" s="568" customFormat="1" ht="12.75" customHeight="1">
      <c r="A724" s="604"/>
      <c r="B724" s="599"/>
      <c r="C724" s="940"/>
      <c r="D724" s="599"/>
      <c r="E724" s="599"/>
      <c r="F724" s="599"/>
      <c r="G724" s="599"/>
      <c r="H724" s="599"/>
      <c r="I724" s="599"/>
      <c r="J724" s="945"/>
      <c r="K724" s="945"/>
      <c r="L724" s="661"/>
      <c r="M724" s="661"/>
      <c r="N724" s="661"/>
      <c r="O724" s="661"/>
      <c r="P724" s="661"/>
      <c r="Q724" s="661"/>
      <c r="R724" s="661"/>
      <c r="S724" s="661"/>
      <c r="T724" s="661"/>
      <c r="U724" s="661"/>
      <c r="V724" s="661"/>
      <c r="W724" s="661"/>
      <c r="X724" s="661"/>
      <c r="Y724" s="935"/>
      <c r="Z724" s="935"/>
      <c r="AA724" s="935"/>
      <c r="AB724" s="599"/>
      <c r="AC724" s="599"/>
      <c r="AD724" s="599"/>
      <c r="AE724" s="599"/>
      <c r="AF724" s="599"/>
      <c r="AG724" s="599"/>
      <c r="AH724" s="599"/>
      <c r="AI724" s="563" t="s">
        <v>2091</v>
      </c>
      <c r="AJ724" s="2390">
        <f>VLOOKUP($H$722,$AO$716:$AP$719,2,FALSE)</f>
        <v>0</v>
      </c>
      <c r="AK724" s="2391"/>
      <c r="AL724" s="593"/>
      <c r="AM724" s="549"/>
      <c r="AN724" s="680"/>
      <c r="AP724" s="568" t="s">
        <v>1404</v>
      </c>
    </row>
    <row r="725" spans="1:43" s="568" customFormat="1">
      <c r="A725" s="549"/>
      <c r="B725" s="536"/>
      <c r="C725" s="536"/>
      <c r="D725" s="536"/>
      <c r="E725" s="536"/>
      <c r="F725" s="536"/>
      <c r="G725" s="536"/>
      <c r="H725" s="536"/>
      <c r="I725" s="536"/>
      <c r="J725" s="536"/>
      <c r="K725" s="536"/>
      <c r="L725" s="536"/>
      <c r="M725" s="536"/>
      <c r="N725" s="536"/>
      <c r="O725" s="536"/>
      <c r="P725" s="536"/>
      <c r="Q725" s="536"/>
      <c r="R725" s="536"/>
      <c r="S725" s="536"/>
      <c r="T725" s="536"/>
      <c r="U725" s="536"/>
      <c r="V725" s="536"/>
      <c r="W725" s="536"/>
      <c r="X725" s="536"/>
      <c r="Y725" s="536"/>
      <c r="Z725" s="536"/>
      <c r="AA725" s="536"/>
      <c r="AB725" s="536"/>
      <c r="AC725" s="536"/>
      <c r="AD725" s="536"/>
      <c r="AE725" s="614"/>
      <c r="AF725" s="614"/>
      <c r="AG725" s="614"/>
      <c r="AH725" s="614"/>
      <c r="AI725" s="614"/>
      <c r="AJ725" s="536"/>
      <c r="AK725" s="536"/>
      <c r="AL725" s="536"/>
      <c r="AM725" s="549"/>
      <c r="AN725" s="680"/>
      <c r="AP725" s="568" t="s">
        <v>1420</v>
      </c>
    </row>
    <row r="726" spans="1:43" s="568" customFormat="1" ht="12.75" customHeight="1">
      <c r="A726" s="549"/>
      <c r="B726" s="536"/>
      <c r="C726" s="539" t="s">
        <v>1421</v>
      </c>
      <c r="D726" s="708"/>
      <c r="E726" s="536"/>
      <c r="F726" s="536"/>
      <c r="G726" s="536"/>
      <c r="H726" s="536"/>
      <c r="I726" s="536"/>
      <c r="J726" s="536"/>
      <c r="K726" s="536"/>
      <c r="L726" s="536"/>
      <c r="M726" s="536"/>
      <c r="N726" s="536"/>
      <c r="O726" s="536"/>
      <c r="P726" s="536"/>
      <c r="Q726" s="536"/>
      <c r="R726" s="536"/>
      <c r="S726" s="536"/>
      <c r="T726" s="536"/>
      <c r="U726" s="536"/>
      <c r="V726" s="536"/>
      <c r="W726" s="536"/>
      <c r="X726" s="536"/>
      <c r="Y726" s="536"/>
      <c r="Z726" s="536"/>
      <c r="AA726" s="536"/>
      <c r="AB726" s="536"/>
      <c r="AC726" s="536"/>
      <c r="AD726" s="536"/>
      <c r="AE726" s="614"/>
      <c r="AF726" s="614"/>
      <c r="AG726" s="614"/>
      <c r="AH726" s="614"/>
      <c r="AI726" s="614"/>
      <c r="AJ726" s="536"/>
      <c r="AK726" s="536"/>
      <c r="AL726" s="536"/>
      <c r="AM726" s="549"/>
      <c r="AN726" s="680"/>
      <c r="AP726" s="568" t="s">
        <v>1422</v>
      </c>
    </row>
    <row r="727" spans="1:43" s="568" customFormat="1" ht="12.75" customHeight="1">
      <c r="A727" s="549"/>
      <c r="B727" s="536"/>
      <c r="C727" s="927"/>
      <c r="D727" s="536"/>
      <c r="E727" s="536"/>
      <c r="F727" s="536"/>
      <c r="G727" s="536"/>
      <c r="H727" s="536"/>
      <c r="I727" s="536"/>
      <c r="J727" s="536"/>
      <c r="K727" s="536"/>
      <c r="L727" s="536"/>
      <c r="M727" s="536"/>
      <c r="N727" s="536"/>
      <c r="O727" s="536"/>
      <c r="P727" s="536"/>
      <c r="Q727" s="536"/>
      <c r="R727" s="536"/>
      <c r="S727" s="536"/>
      <c r="T727" s="536"/>
      <c r="U727" s="536"/>
      <c r="V727" s="536"/>
      <c r="W727" s="536"/>
      <c r="X727" s="536"/>
      <c r="Y727" s="536"/>
      <c r="Z727" s="536"/>
      <c r="AA727" s="536"/>
      <c r="AB727" s="536"/>
      <c r="AC727" s="536"/>
      <c r="AD727" s="536"/>
      <c r="AE727" s="614"/>
      <c r="AF727" s="614"/>
      <c r="AG727" s="614"/>
      <c r="AH727" s="614"/>
      <c r="AI727" s="614"/>
      <c r="AJ727" s="536"/>
      <c r="AK727" s="536"/>
      <c r="AL727" s="536"/>
      <c r="AM727" s="549"/>
      <c r="AN727" s="680"/>
      <c r="AP727" s="568" t="s">
        <v>1423</v>
      </c>
    </row>
    <row r="728" spans="1:43" s="568" customFormat="1" ht="12.75" customHeight="1">
      <c r="A728" s="635"/>
      <c r="B728" s="536"/>
      <c r="C728" s="927"/>
      <c r="D728" s="659" t="s">
        <v>687</v>
      </c>
      <c r="E728" s="2529" t="s">
        <v>1684</v>
      </c>
      <c r="F728" s="2529"/>
      <c r="G728" s="2529"/>
      <c r="H728" s="2529"/>
      <c r="I728" s="2529"/>
      <c r="J728" s="2529"/>
      <c r="K728" s="2529"/>
      <c r="L728" s="2529"/>
      <c r="M728" s="2529"/>
      <c r="N728" s="2529"/>
      <c r="O728" s="2529"/>
      <c r="P728" s="2529"/>
      <c r="Q728" s="2529"/>
      <c r="R728" s="2529"/>
      <c r="S728" s="2529"/>
      <c r="T728" s="2529"/>
      <c r="U728" s="2529"/>
      <c r="V728" s="2529"/>
      <c r="W728" s="2529"/>
      <c r="X728" s="2529"/>
      <c r="Y728" s="2529"/>
      <c r="Z728" s="2529"/>
      <c r="AA728" s="2529"/>
      <c r="AB728" s="2529"/>
      <c r="AC728" s="536"/>
      <c r="AD728" s="536"/>
      <c r="AE728" s="536"/>
      <c r="AF728" s="2388" t="s">
        <v>1346</v>
      </c>
      <c r="AG728" s="2388"/>
      <c r="AH728" s="2388"/>
      <c r="AI728" s="2388"/>
      <c r="AJ728" s="2388"/>
      <c r="AK728" s="2388"/>
      <c r="AL728" s="2388"/>
      <c r="AM728" s="549"/>
      <c r="AN728" s="680"/>
      <c r="AP728" s="568" t="s">
        <v>1424</v>
      </c>
    </row>
    <row r="729" spans="1:43" s="568" customFormat="1" ht="11.85" customHeight="1">
      <c r="A729" s="549"/>
      <c r="B729" s="536"/>
      <c r="C729" s="929"/>
      <c r="D729" s="659"/>
      <c r="E729" s="2529"/>
      <c r="F729" s="2529"/>
      <c r="G729" s="2529"/>
      <c r="H729" s="2529"/>
      <c r="I729" s="2529"/>
      <c r="J729" s="2529"/>
      <c r="K729" s="2529"/>
      <c r="L729" s="2529"/>
      <c r="M729" s="2529"/>
      <c r="N729" s="2529"/>
      <c r="O729" s="2529"/>
      <c r="P729" s="2529"/>
      <c r="Q729" s="2529"/>
      <c r="R729" s="2529"/>
      <c r="S729" s="2529"/>
      <c r="T729" s="2529"/>
      <c r="U729" s="2529"/>
      <c r="V729" s="2529"/>
      <c r="W729" s="2529"/>
      <c r="X729" s="2529"/>
      <c r="Y729" s="2529"/>
      <c r="Z729" s="2529"/>
      <c r="AA729" s="2529"/>
      <c r="AB729" s="2529"/>
      <c r="AC729" s="536"/>
      <c r="AD729" s="536"/>
      <c r="AE729" s="536"/>
      <c r="AF729" s="536"/>
      <c r="AG729" s="536"/>
      <c r="AH729" s="536"/>
      <c r="AI729" s="536"/>
      <c r="AJ729" s="536"/>
      <c r="AK729" s="536"/>
      <c r="AL729" s="536"/>
      <c r="AM729" s="549"/>
      <c r="AN729" s="680"/>
      <c r="AP729" s="568" t="s">
        <v>1425</v>
      </c>
    </row>
    <row r="730" spans="1:43" s="568" customFormat="1" ht="13.9" customHeight="1">
      <c r="A730" s="549"/>
      <c r="B730" s="608"/>
      <c r="C730" s="927"/>
      <c r="D730" s="659"/>
      <c r="E730" s="2529"/>
      <c r="F730" s="2529"/>
      <c r="G730" s="2529"/>
      <c r="H730" s="2529"/>
      <c r="I730" s="2529"/>
      <c r="J730" s="2529"/>
      <c r="K730" s="2529"/>
      <c r="L730" s="2529"/>
      <c r="M730" s="2529"/>
      <c r="N730" s="2529"/>
      <c r="O730" s="2529"/>
      <c r="P730" s="2529"/>
      <c r="Q730" s="2529"/>
      <c r="R730" s="2529"/>
      <c r="S730" s="2529"/>
      <c r="T730" s="2529"/>
      <c r="U730" s="2529"/>
      <c r="V730" s="2529"/>
      <c r="W730" s="2529"/>
      <c r="X730" s="2529"/>
      <c r="Y730" s="2529"/>
      <c r="Z730" s="2529"/>
      <c r="AA730" s="2529"/>
      <c r="AB730" s="2529"/>
      <c r="AC730" s="536"/>
      <c r="AD730" s="536"/>
      <c r="AE730" s="614"/>
      <c r="AF730" s="536"/>
      <c r="AG730" s="536"/>
      <c r="AH730" s="536"/>
      <c r="AI730" s="536"/>
      <c r="AJ730" s="536"/>
      <c r="AK730" s="536"/>
      <c r="AL730" s="536"/>
      <c r="AM730" s="549"/>
      <c r="AN730" s="680"/>
      <c r="AP730" s="568" t="s">
        <v>1426</v>
      </c>
    </row>
    <row r="731" spans="1:43" s="568" customFormat="1" ht="13.9" customHeight="1">
      <c r="A731" s="549"/>
      <c r="B731" s="608"/>
      <c r="C731" s="927"/>
      <c r="D731" s="659"/>
      <c r="E731" s="932"/>
      <c r="F731" s="932"/>
      <c r="G731" s="932"/>
      <c r="H731" s="932"/>
      <c r="I731" s="932"/>
      <c r="J731" s="932"/>
      <c r="K731" s="932"/>
      <c r="L731" s="932"/>
      <c r="M731" s="932"/>
      <c r="N731" s="932"/>
      <c r="O731" s="932"/>
      <c r="P731" s="932"/>
      <c r="Q731" s="932"/>
      <c r="R731" s="932"/>
      <c r="S731" s="932"/>
      <c r="T731" s="932"/>
      <c r="U731" s="932"/>
      <c r="V731" s="932"/>
      <c r="W731" s="932"/>
      <c r="X731" s="932"/>
      <c r="Y731" s="932"/>
      <c r="Z731" s="932"/>
      <c r="AA731" s="932"/>
      <c r="AB731" s="932"/>
      <c r="AC731" s="536"/>
      <c r="AD731" s="536"/>
      <c r="AE731" s="614"/>
      <c r="AF731" s="536"/>
      <c r="AG731" s="536"/>
      <c r="AH731" s="536"/>
      <c r="AI731" s="536"/>
      <c r="AJ731" s="536"/>
      <c r="AK731" s="536"/>
      <c r="AL731" s="536"/>
      <c r="AM731" s="549"/>
      <c r="AN731" s="680"/>
      <c r="AP731" s="682" t="s">
        <v>1428</v>
      </c>
    </row>
    <row r="732" spans="1:43" s="568" customFormat="1" ht="13.9" customHeight="1">
      <c r="A732" s="549"/>
      <c r="B732" s="536"/>
      <c r="C732" s="927"/>
      <c r="D732" s="659" t="s">
        <v>509</v>
      </c>
      <c r="E732" s="2530" t="s">
        <v>1427</v>
      </c>
      <c r="F732" s="2530"/>
      <c r="G732" s="2530"/>
      <c r="H732" s="2530"/>
      <c r="I732" s="2530"/>
      <c r="J732" s="2530"/>
      <c r="K732" s="2530"/>
      <c r="L732" s="2530"/>
      <c r="M732" s="2530"/>
      <c r="N732" s="2530"/>
      <c r="O732" s="2530"/>
      <c r="P732" s="2530"/>
      <c r="Q732" s="2530"/>
      <c r="R732" s="2530"/>
      <c r="S732" s="2530"/>
      <c r="T732" s="2530"/>
      <c r="U732" s="2530"/>
      <c r="V732" s="2530"/>
      <c r="W732" s="2530"/>
      <c r="X732" s="2530"/>
      <c r="Y732" s="2530"/>
      <c r="Z732" s="2530"/>
      <c r="AA732" s="2530"/>
      <c r="AB732" s="2530"/>
      <c r="AC732" s="536"/>
      <c r="AD732" s="536"/>
      <c r="AE732" s="536"/>
      <c r="AF732" s="2388" t="s">
        <v>1400</v>
      </c>
      <c r="AG732" s="2388"/>
      <c r="AH732" s="2388"/>
      <c r="AI732" s="2388"/>
      <c r="AJ732" s="2388"/>
      <c r="AK732" s="2388"/>
      <c r="AL732" s="2388"/>
      <c r="AM732" s="549"/>
      <c r="AN732" s="681"/>
    </row>
    <row r="733" spans="1:43" s="568" customFormat="1" ht="12.75" customHeight="1">
      <c r="A733" s="549"/>
      <c r="B733" s="536"/>
      <c r="C733" s="929"/>
      <c r="D733" s="536"/>
      <c r="E733" s="2530"/>
      <c r="F733" s="2530"/>
      <c r="G733" s="2530"/>
      <c r="H733" s="2530"/>
      <c r="I733" s="2530"/>
      <c r="J733" s="2530"/>
      <c r="K733" s="2530"/>
      <c r="L733" s="2530"/>
      <c r="M733" s="2530"/>
      <c r="N733" s="2530"/>
      <c r="O733" s="2530"/>
      <c r="P733" s="2530"/>
      <c r="Q733" s="2530"/>
      <c r="R733" s="2530"/>
      <c r="S733" s="2530"/>
      <c r="T733" s="2530"/>
      <c r="U733" s="2530"/>
      <c r="V733" s="2530"/>
      <c r="W733" s="2530"/>
      <c r="X733" s="2530"/>
      <c r="Y733" s="2530"/>
      <c r="Z733" s="2530"/>
      <c r="AA733" s="2530"/>
      <c r="AB733" s="2530"/>
      <c r="AC733" s="536"/>
      <c r="AD733" s="536"/>
      <c r="AE733" s="536"/>
      <c r="AF733" s="536"/>
      <c r="AG733" s="536"/>
      <c r="AH733" s="536"/>
      <c r="AI733" s="536"/>
      <c r="AJ733" s="536"/>
      <c r="AK733" s="536"/>
      <c r="AL733" s="536"/>
      <c r="AM733" s="549"/>
      <c r="AN733" s="680"/>
      <c r="AP733" s="549" t="s">
        <v>591</v>
      </c>
      <c r="AQ733" s="669">
        <v>0</v>
      </c>
    </row>
    <row r="734" spans="1:43" s="568" customFormat="1" ht="13.9" customHeight="1">
      <c r="A734" s="549"/>
      <c r="B734" s="536"/>
      <c r="C734" s="929"/>
      <c r="D734" s="536"/>
      <c r="E734" s="2530"/>
      <c r="F734" s="2530"/>
      <c r="G734" s="2530"/>
      <c r="H734" s="2530"/>
      <c r="I734" s="2530"/>
      <c r="J734" s="2530"/>
      <c r="K734" s="2530"/>
      <c r="L734" s="2530"/>
      <c r="M734" s="2530"/>
      <c r="N734" s="2530"/>
      <c r="O734" s="2530"/>
      <c r="P734" s="2530"/>
      <c r="Q734" s="2530"/>
      <c r="R734" s="2530"/>
      <c r="S734" s="2530"/>
      <c r="T734" s="2530"/>
      <c r="U734" s="2530"/>
      <c r="V734" s="2530"/>
      <c r="W734" s="2530"/>
      <c r="X734" s="2530"/>
      <c r="Y734" s="2530"/>
      <c r="Z734" s="2530"/>
      <c r="AA734" s="2530"/>
      <c r="AB734" s="2530"/>
      <c r="AC734" s="536"/>
      <c r="AD734" s="536"/>
      <c r="AE734" s="536"/>
      <c r="AF734" s="536"/>
      <c r="AG734" s="536"/>
      <c r="AH734" s="536"/>
      <c r="AI734" s="536"/>
      <c r="AJ734" s="536"/>
      <c r="AK734" s="536"/>
      <c r="AL734" s="536"/>
      <c r="AM734" s="549"/>
      <c r="AN734" s="680"/>
      <c r="AP734" s="609" t="s">
        <v>687</v>
      </c>
      <c r="AQ734" s="549">
        <v>3</v>
      </c>
    </row>
    <row r="735" spans="1:43" s="568" customFormat="1" ht="13.9" customHeight="1">
      <c r="A735" s="549"/>
      <c r="B735" s="536"/>
      <c r="C735" s="929"/>
      <c r="D735" s="536"/>
      <c r="E735" s="946"/>
      <c r="F735" s="946"/>
      <c r="G735" s="946"/>
      <c r="H735" s="946"/>
      <c r="I735" s="946"/>
      <c r="J735" s="946"/>
      <c r="K735" s="946"/>
      <c r="L735" s="946"/>
      <c r="M735" s="946"/>
      <c r="N735" s="946"/>
      <c r="O735" s="946"/>
      <c r="P735" s="946"/>
      <c r="Q735" s="946"/>
      <c r="R735" s="946"/>
      <c r="S735" s="946"/>
      <c r="T735" s="946"/>
      <c r="U735" s="946"/>
      <c r="V735" s="946"/>
      <c r="W735" s="946"/>
      <c r="X735" s="946"/>
      <c r="Y735" s="946"/>
      <c r="Z735" s="946"/>
      <c r="AA735" s="946"/>
      <c r="AB735" s="946"/>
      <c r="AC735" s="536"/>
      <c r="AD735" s="536"/>
      <c r="AE735" s="536"/>
      <c r="AF735" s="536"/>
      <c r="AG735" s="536"/>
      <c r="AH735" s="536"/>
      <c r="AI735" s="536"/>
      <c r="AJ735" s="536"/>
      <c r="AK735" s="536"/>
      <c r="AL735" s="536"/>
      <c r="AM735" s="549"/>
      <c r="AN735" s="680"/>
      <c r="AP735" s="609" t="s">
        <v>509</v>
      </c>
      <c r="AQ735" s="549">
        <v>2</v>
      </c>
    </row>
    <row r="736" spans="1:43" s="568" customFormat="1" ht="13.9" customHeight="1">
      <c r="A736" s="549"/>
      <c r="B736" s="536"/>
      <c r="C736" s="929"/>
      <c r="D736" s="536" t="s">
        <v>1392</v>
      </c>
      <c r="E736" s="932"/>
      <c r="F736" s="932"/>
      <c r="G736" s="932"/>
      <c r="H736" s="2389" t="s">
        <v>591</v>
      </c>
      <c r="I736" s="2389"/>
      <c r="J736" s="946"/>
      <c r="K736" s="946"/>
      <c r="L736" s="946"/>
      <c r="M736" s="946"/>
      <c r="N736" s="946"/>
      <c r="O736" s="946"/>
      <c r="P736" s="946"/>
      <c r="Q736" s="946"/>
      <c r="R736" s="946"/>
      <c r="S736" s="946"/>
      <c r="T736" s="946"/>
      <c r="U736" s="946"/>
      <c r="V736" s="946"/>
      <c r="W736" s="946"/>
      <c r="X736" s="946"/>
      <c r="Y736" s="946"/>
      <c r="Z736" s="946"/>
      <c r="AA736" s="946"/>
      <c r="AB736" s="946"/>
      <c r="AC736" s="536"/>
      <c r="AD736" s="536"/>
      <c r="AE736" s="536"/>
      <c r="AF736" s="536"/>
      <c r="AG736" s="536"/>
      <c r="AH736" s="536"/>
      <c r="AI736" s="536"/>
      <c r="AJ736" s="536"/>
      <c r="AK736" s="536"/>
      <c r="AL736" s="536"/>
      <c r="AM736" s="549"/>
      <c r="AN736" s="680"/>
    </row>
    <row r="737" spans="1:81" s="568" customFormat="1" ht="14.25" customHeight="1">
      <c r="A737" s="549"/>
      <c r="B737" s="536"/>
      <c r="C737" s="929"/>
      <c r="D737" s="536"/>
      <c r="E737" s="946"/>
      <c r="F737" s="946"/>
      <c r="G737" s="946"/>
      <c r="H737" s="946"/>
      <c r="I737" s="946"/>
      <c r="J737" s="946"/>
      <c r="K737" s="946"/>
      <c r="L737" s="946"/>
      <c r="M737" s="946"/>
      <c r="N737" s="946"/>
      <c r="O737" s="946"/>
      <c r="P737" s="946"/>
      <c r="Q737" s="946"/>
      <c r="R737" s="946"/>
      <c r="S737" s="946"/>
      <c r="T737" s="946"/>
      <c r="U737" s="946"/>
      <c r="V737" s="946"/>
      <c r="W737" s="946"/>
      <c r="X737" s="946"/>
      <c r="Y737" s="946"/>
      <c r="Z737" s="946"/>
      <c r="AA737" s="946"/>
      <c r="AB737" s="946"/>
      <c r="AC737" s="536"/>
      <c r="AD737" s="536"/>
      <c r="AE737" s="536"/>
      <c r="AF737" s="536"/>
      <c r="AG737" s="536"/>
      <c r="AH737" s="536"/>
      <c r="AI737" s="536"/>
      <c r="AJ737" s="536"/>
      <c r="AK737" s="536"/>
      <c r="AL737" s="536"/>
      <c r="AM737" s="549"/>
      <c r="AN737" s="680"/>
    </row>
    <row r="738" spans="1:81" s="568" customFormat="1" ht="12.75" customHeight="1">
      <c r="A738" s="604"/>
      <c r="B738" s="599"/>
      <c r="C738" s="934"/>
      <c r="D738" s="599"/>
      <c r="E738" s="599"/>
      <c r="F738" s="599"/>
      <c r="G738" s="599"/>
      <c r="H738" s="599"/>
      <c r="I738" s="599"/>
      <c r="J738" s="947"/>
      <c r="K738" s="947"/>
      <c r="L738" s="947"/>
      <c r="M738" s="947"/>
      <c r="N738" s="947"/>
      <c r="O738" s="947"/>
      <c r="P738" s="947"/>
      <c r="Q738" s="947"/>
      <c r="R738" s="947"/>
      <c r="S738" s="947"/>
      <c r="T738" s="947"/>
      <c r="U738" s="661"/>
      <c r="V738" s="661"/>
      <c r="W738" s="661"/>
      <c r="X738" s="661"/>
      <c r="Y738" s="935"/>
      <c r="Z738" s="935"/>
      <c r="AA738" s="935"/>
      <c r="AB738" s="599"/>
      <c r="AC738" s="599"/>
      <c r="AD738" s="599"/>
      <c r="AE738" s="599"/>
      <c r="AF738" s="599"/>
      <c r="AG738" s="599"/>
      <c r="AH738" s="599"/>
      <c r="AI738" s="563" t="s">
        <v>1429</v>
      </c>
      <c r="AJ738" s="2390">
        <f>VLOOKUP($H$736,$AP$733:$AQ$735,2,FALSE)</f>
        <v>0</v>
      </c>
      <c r="AK738" s="2391"/>
      <c r="AL738" s="593"/>
      <c r="AM738" s="549"/>
      <c r="AN738" s="680"/>
      <c r="AP738" s="2390"/>
      <c r="AQ738" s="2391"/>
    </row>
    <row r="739" spans="1:81" s="568" customFormat="1">
      <c r="A739" s="549"/>
      <c r="B739" s="608"/>
      <c r="C739" s="927"/>
      <c r="D739" s="931"/>
      <c r="E739" s="614"/>
      <c r="F739" s="614"/>
      <c r="G739" s="614"/>
      <c r="H739" s="614"/>
      <c r="I739" s="614"/>
      <c r="J739" s="614"/>
      <c r="K739" s="614"/>
      <c r="L739" s="614"/>
      <c r="M739" s="614"/>
      <c r="N739" s="614"/>
      <c r="O739" s="614"/>
      <c r="P739" s="614"/>
      <c r="Q739" s="614"/>
      <c r="R739" s="614"/>
      <c r="S739" s="614"/>
      <c r="T739" s="614"/>
      <c r="U739" s="614"/>
      <c r="V739" s="614"/>
      <c r="W739" s="614"/>
      <c r="X739" s="614"/>
      <c r="Y739" s="614"/>
      <c r="Z739" s="614"/>
      <c r="AA739" s="614"/>
      <c r="AB739" s="614"/>
      <c r="AC739" s="536"/>
      <c r="AD739" s="536"/>
      <c r="AE739" s="536"/>
      <c r="AF739" s="536"/>
      <c r="AG739" s="536"/>
      <c r="AH739" s="536"/>
      <c r="AI739" s="536"/>
      <c r="AJ739" s="536"/>
      <c r="AK739" s="536"/>
      <c r="AL739" s="536"/>
      <c r="AM739" s="549"/>
      <c r="AN739" s="680"/>
      <c r="AT739" s="14"/>
      <c r="AU739" s="14"/>
      <c r="AV739" s="14"/>
      <c r="AW739" s="14"/>
      <c r="AX739" s="14"/>
      <c r="AY739" s="14"/>
      <c r="AZ739" s="14"/>
    </row>
    <row r="740" spans="1:81" s="568" customFormat="1">
      <c r="A740" s="549"/>
      <c r="B740" s="536"/>
      <c r="C740" s="539" t="s">
        <v>1430</v>
      </c>
      <c r="D740" s="948"/>
      <c r="E740" s="614"/>
      <c r="F740" s="614"/>
      <c r="G740" s="614"/>
      <c r="H740" s="614"/>
      <c r="I740" s="614"/>
      <c r="J740" s="614"/>
      <c r="K740" s="614"/>
      <c r="L740" s="614"/>
      <c r="M740" s="614"/>
      <c r="N740" s="614"/>
      <c r="O740" s="614"/>
      <c r="P740" s="614"/>
      <c r="Q740" s="614"/>
      <c r="R740" s="614"/>
      <c r="S740" s="614"/>
      <c r="T740" s="614"/>
      <c r="U740" s="614"/>
      <c r="V740" s="614"/>
      <c r="W740" s="614"/>
      <c r="X740" s="614"/>
      <c r="Y740" s="614"/>
      <c r="Z740" s="614"/>
      <c r="AA740" s="614"/>
      <c r="AB740" s="614"/>
      <c r="AC740" s="536"/>
      <c r="AD740" s="536"/>
      <c r="AE740" s="536"/>
      <c r="AF740" s="536"/>
      <c r="AG740" s="536"/>
      <c r="AH740" s="536"/>
      <c r="AI740" s="536"/>
      <c r="AJ740" s="536"/>
      <c r="AK740" s="536"/>
      <c r="AL740" s="536"/>
      <c r="AM740" s="549"/>
      <c r="AN740" s="680"/>
      <c r="AT740" s="14"/>
      <c r="AU740" s="14"/>
      <c r="AV740" s="14"/>
      <c r="AW740" s="14"/>
      <c r="AX740" s="14"/>
      <c r="AY740" s="14"/>
      <c r="AZ740" s="14"/>
    </row>
    <row r="741" spans="1:81" s="568" customFormat="1">
      <c r="A741" s="549"/>
      <c r="B741" s="608"/>
      <c r="C741" s="927"/>
      <c r="D741" s="931"/>
      <c r="E741" s="614"/>
      <c r="F741" s="614"/>
      <c r="G741" s="614"/>
      <c r="H741" s="614"/>
      <c r="I741" s="614"/>
      <c r="J741" s="614"/>
      <c r="K741" s="614"/>
      <c r="L741" s="614"/>
      <c r="M741" s="614"/>
      <c r="N741" s="614"/>
      <c r="O741" s="614"/>
      <c r="P741" s="614"/>
      <c r="Q741" s="614"/>
      <c r="R741" s="614"/>
      <c r="S741" s="614"/>
      <c r="T741" s="614"/>
      <c r="U741" s="614"/>
      <c r="V741" s="614"/>
      <c r="W741" s="614"/>
      <c r="X741" s="614"/>
      <c r="Y741" s="614"/>
      <c r="Z741" s="614"/>
      <c r="AA741" s="614"/>
      <c r="AB741" s="614"/>
      <c r="AC741" s="536"/>
      <c r="AD741" s="536"/>
      <c r="AE741" s="536"/>
      <c r="AF741" s="536"/>
      <c r="AG741" s="536"/>
      <c r="AH741" s="536"/>
      <c r="AI741" s="536"/>
      <c r="AJ741" s="536"/>
      <c r="AK741" s="536"/>
      <c r="AL741" s="536"/>
      <c r="AM741" s="549"/>
      <c r="AN741" s="680"/>
      <c r="AT741" s="14"/>
      <c r="AU741" s="14"/>
      <c r="AV741" s="14"/>
      <c r="AW741" s="14"/>
      <c r="AX741" s="14"/>
      <c r="AY741" s="14"/>
      <c r="AZ741" s="14"/>
    </row>
    <row r="742" spans="1:81" s="568" customFormat="1">
      <c r="A742" s="549"/>
      <c r="B742" s="536"/>
      <c r="C742" s="927"/>
      <c r="D742" s="659" t="s">
        <v>687</v>
      </c>
      <c r="E742" s="2387" t="s">
        <v>1685</v>
      </c>
      <c r="F742" s="2387"/>
      <c r="G742" s="2387"/>
      <c r="H742" s="2387"/>
      <c r="I742" s="2387"/>
      <c r="J742" s="2387"/>
      <c r="K742" s="2387"/>
      <c r="L742" s="2387"/>
      <c r="M742" s="2387"/>
      <c r="N742" s="2387"/>
      <c r="O742" s="2387"/>
      <c r="P742" s="2387"/>
      <c r="Q742" s="2387"/>
      <c r="R742" s="2387"/>
      <c r="S742" s="2387"/>
      <c r="T742" s="2387"/>
      <c r="U742" s="2387"/>
      <c r="V742" s="2387"/>
      <c r="W742" s="2387"/>
      <c r="X742" s="2387"/>
      <c r="Y742" s="2387"/>
      <c r="Z742" s="2387"/>
      <c r="AA742" s="2387"/>
      <c r="AB742" s="2387"/>
      <c r="AC742" s="536"/>
      <c r="AD742" s="536"/>
      <c r="AE742" s="536"/>
      <c r="AF742" s="2388" t="s">
        <v>1346</v>
      </c>
      <c r="AG742" s="2388"/>
      <c r="AH742" s="2388"/>
      <c r="AI742" s="2388"/>
      <c r="AJ742" s="2388"/>
      <c r="AK742" s="2388"/>
      <c r="AL742" s="2388"/>
      <c r="AM742" s="549"/>
      <c r="AN742" s="680"/>
      <c r="AT742" s="14"/>
      <c r="AU742" s="14"/>
      <c r="AV742" s="14"/>
      <c r="AW742" s="14"/>
      <c r="AX742" s="14"/>
      <c r="AY742" s="14"/>
      <c r="AZ742" s="14"/>
    </row>
    <row r="743" spans="1:81" s="568" customFormat="1">
      <c r="A743" s="549"/>
      <c r="B743" s="536"/>
      <c r="C743" s="929"/>
      <c r="D743" s="659"/>
      <c r="E743" s="2387"/>
      <c r="F743" s="2387"/>
      <c r="G743" s="2387"/>
      <c r="H743" s="2387"/>
      <c r="I743" s="2387"/>
      <c r="J743" s="2387"/>
      <c r="K743" s="2387"/>
      <c r="L743" s="2387"/>
      <c r="M743" s="2387"/>
      <c r="N743" s="2387"/>
      <c r="O743" s="2387"/>
      <c r="P743" s="2387"/>
      <c r="Q743" s="2387"/>
      <c r="R743" s="2387"/>
      <c r="S743" s="2387"/>
      <c r="T743" s="2387"/>
      <c r="U743" s="2387"/>
      <c r="V743" s="2387"/>
      <c r="W743" s="2387"/>
      <c r="X743" s="2387"/>
      <c r="Y743" s="2387"/>
      <c r="Z743" s="2387"/>
      <c r="AA743" s="2387"/>
      <c r="AB743" s="2387"/>
      <c r="AC743" s="536"/>
      <c r="AD743" s="536"/>
      <c r="AE743" s="536"/>
      <c r="AF743" s="536"/>
      <c r="AG743" s="536"/>
      <c r="AH743" s="536"/>
      <c r="AI743" s="536"/>
      <c r="AJ743" s="536"/>
      <c r="AK743" s="536"/>
      <c r="AL743" s="536"/>
      <c r="AM743" s="549"/>
      <c r="AN743" s="680"/>
      <c r="AT743" s="14"/>
      <c r="AU743" s="14"/>
      <c r="AV743" s="14"/>
      <c r="AW743" s="14"/>
      <c r="AX743" s="14"/>
      <c r="AY743" s="14"/>
      <c r="AZ743" s="14"/>
    </row>
    <row r="744" spans="1:81" s="568" customFormat="1">
      <c r="A744" s="549"/>
      <c r="B744" s="608"/>
      <c r="C744" s="927"/>
      <c r="D744" s="659"/>
      <c r="E744" s="614"/>
      <c r="F744" s="614"/>
      <c r="G744" s="614"/>
      <c r="H744" s="614"/>
      <c r="I744" s="614"/>
      <c r="J744" s="614"/>
      <c r="K744" s="614"/>
      <c r="L744" s="614"/>
      <c r="M744" s="614"/>
      <c r="N744" s="614"/>
      <c r="O744" s="614"/>
      <c r="P744" s="614"/>
      <c r="Q744" s="614"/>
      <c r="R744" s="614"/>
      <c r="S744" s="614"/>
      <c r="T744" s="614"/>
      <c r="U744" s="614"/>
      <c r="V744" s="614"/>
      <c r="W744" s="614"/>
      <c r="X744" s="614"/>
      <c r="Y744" s="614"/>
      <c r="Z744" s="614"/>
      <c r="AA744" s="614"/>
      <c r="AB744" s="614"/>
      <c r="AC744" s="536"/>
      <c r="AD744" s="536"/>
      <c r="AE744" s="536"/>
      <c r="AF744" s="536"/>
      <c r="AG744" s="536"/>
      <c r="AH744" s="536"/>
      <c r="AI744" s="536"/>
      <c r="AJ744" s="536"/>
      <c r="AK744" s="536"/>
      <c r="AL744" s="536"/>
      <c r="AM744" s="549"/>
      <c r="AN744" s="680"/>
      <c r="AT744" s="14"/>
      <c r="AU744" s="14"/>
      <c r="AV744" s="14"/>
      <c r="AW744" s="14"/>
      <c r="AX744" s="14"/>
      <c r="AY744" s="14"/>
      <c r="AZ744" s="14"/>
    </row>
    <row r="745" spans="1:81" s="568" customFormat="1" ht="12.75" customHeight="1">
      <c r="A745" s="549"/>
      <c r="B745" s="536"/>
      <c r="C745" s="927"/>
      <c r="D745" s="659" t="s">
        <v>509</v>
      </c>
      <c r="E745" s="2387" t="s">
        <v>1431</v>
      </c>
      <c r="F745" s="2387"/>
      <c r="G745" s="2387"/>
      <c r="H745" s="2387"/>
      <c r="I745" s="2387"/>
      <c r="J745" s="2387"/>
      <c r="K745" s="2387"/>
      <c r="L745" s="2387"/>
      <c r="M745" s="2387"/>
      <c r="N745" s="2387"/>
      <c r="O745" s="2387"/>
      <c r="P745" s="2387"/>
      <c r="Q745" s="2387"/>
      <c r="R745" s="2387"/>
      <c r="S745" s="2387"/>
      <c r="T745" s="2387"/>
      <c r="U745" s="2387"/>
      <c r="V745" s="2387"/>
      <c r="W745" s="2387"/>
      <c r="X745" s="2387"/>
      <c r="Y745" s="2387"/>
      <c r="Z745" s="2387"/>
      <c r="AA745" s="2387"/>
      <c r="AB745" s="2387"/>
      <c r="AC745" s="536"/>
      <c r="AD745" s="536"/>
      <c r="AE745" s="536"/>
      <c r="AF745" s="2388" t="s">
        <v>1400</v>
      </c>
      <c r="AG745" s="2388"/>
      <c r="AH745" s="2388"/>
      <c r="AI745" s="2388"/>
      <c r="AJ745" s="2388"/>
      <c r="AK745" s="2388"/>
      <c r="AL745" s="2388"/>
      <c r="AM745" s="549"/>
      <c r="AN745" s="680"/>
      <c r="AT745" s="14"/>
      <c r="AU745" s="14"/>
      <c r="AV745" s="14"/>
      <c r="AW745" s="14"/>
      <c r="AX745" s="14"/>
      <c r="AY745" s="14"/>
      <c r="AZ745" s="14"/>
    </row>
    <row r="746" spans="1:81" s="568" customFormat="1">
      <c r="A746" s="549"/>
      <c r="B746" s="536"/>
      <c r="C746" s="929"/>
      <c r="D746" s="536"/>
      <c r="E746" s="2387"/>
      <c r="F746" s="2387"/>
      <c r="G746" s="2387"/>
      <c r="H746" s="2387"/>
      <c r="I746" s="2387"/>
      <c r="J746" s="2387"/>
      <c r="K746" s="2387"/>
      <c r="L746" s="2387"/>
      <c r="M746" s="2387"/>
      <c r="N746" s="2387"/>
      <c r="O746" s="2387"/>
      <c r="P746" s="2387"/>
      <c r="Q746" s="2387"/>
      <c r="R746" s="2387"/>
      <c r="S746" s="2387"/>
      <c r="T746" s="2387"/>
      <c r="U746" s="2387"/>
      <c r="V746" s="2387"/>
      <c r="W746" s="2387"/>
      <c r="X746" s="2387"/>
      <c r="Y746" s="2387"/>
      <c r="Z746" s="2387"/>
      <c r="AA746" s="2387"/>
      <c r="AB746" s="2387"/>
      <c r="AC746" s="536"/>
      <c r="AD746" s="536"/>
      <c r="AE746" s="536"/>
      <c r="AF746" s="536"/>
      <c r="AG746" s="536"/>
      <c r="AH746" s="536"/>
      <c r="AI746" s="536"/>
      <c r="AJ746" s="536"/>
      <c r="AK746" s="536"/>
      <c r="AL746" s="536"/>
      <c r="AM746" s="549"/>
      <c r="AN746" s="680"/>
      <c r="AT746" s="14"/>
      <c r="AU746" s="14"/>
      <c r="AV746" s="14"/>
      <c r="AW746" s="14"/>
      <c r="AX746" s="14"/>
      <c r="AY746" s="14"/>
      <c r="AZ746" s="14"/>
    </row>
    <row r="747" spans="1:81" s="568" customFormat="1">
      <c r="A747" s="549"/>
      <c r="B747" s="536"/>
      <c r="C747" s="929"/>
      <c r="D747" s="536"/>
      <c r="E747" s="641"/>
      <c r="F747" s="641"/>
      <c r="G747" s="641"/>
      <c r="H747" s="641"/>
      <c r="I747" s="641"/>
      <c r="J747" s="641"/>
      <c r="K747" s="641"/>
      <c r="L747" s="641"/>
      <c r="M747" s="641"/>
      <c r="N747" s="641"/>
      <c r="O747" s="641"/>
      <c r="P747" s="641"/>
      <c r="Q747" s="641"/>
      <c r="R747" s="641"/>
      <c r="S747" s="641"/>
      <c r="T747" s="641"/>
      <c r="U747" s="641"/>
      <c r="V747" s="641"/>
      <c r="W747" s="641"/>
      <c r="X747" s="641"/>
      <c r="Y747" s="641"/>
      <c r="Z747" s="641"/>
      <c r="AA747" s="641"/>
      <c r="AB747" s="641"/>
      <c r="AC747" s="536"/>
      <c r="AD747" s="536"/>
      <c r="AE747" s="536"/>
      <c r="AF747" s="536"/>
      <c r="AG747" s="536"/>
      <c r="AH747" s="536"/>
      <c r="AI747" s="536"/>
      <c r="AJ747" s="536"/>
      <c r="AK747" s="536"/>
      <c r="AL747" s="536"/>
      <c r="AM747" s="549"/>
      <c r="AN747" s="680"/>
      <c r="AT747" s="14"/>
      <c r="AU747" s="14"/>
      <c r="AV747" s="14"/>
      <c r="AW747" s="14"/>
      <c r="AX747" s="14"/>
      <c r="AY747" s="14"/>
      <c r="AZ747" s="14"/>
    </row>
    <row r="748" spans="1:81" s="568" customFormat="1" ht="12.75" customHeight="1">
      <c r="A748" s="549"/>
      <c r="B748" s="536"/>
      <c r="C748" s="929"/>
      <c r="D748" s="536" t="s">
        <v>1392</v>
      </c>
      <c r="E748" s="932"/>
      <c r="F748" s="932"/>
      <c r="G748" s="932"/>
      <c r="H748" s="2389" t="s">
        <v>591</v>
      </c>
      <c r="I748" s="2389"/>
      <c r="J748" s="641"/>
      <c r="K748" s="641"/>
      <c r="L748" s="641"/>
      <c r="M748" s="641"/>
      <c r="N748" s="641"/>
      <c r="O748" s="641"/>
      <c r="P748" s="641"/>
      <c r="Q748" s="641"/>
      <c r="R748" s="641"/>
      <c r="S748" s="641"/>
      <c r="T748" s="641"/>
      <c r="U748" s="641"/>
      <c r="V748" s="641"/>
      <c r="W748" s="641"/>
      <c r="X748" s="641"/>
      <c r="Y748" s="641"/>
      <c r="Z748" s="641"/>
      <c r="AA748" s="641"/>
      <c r="AB748" s="641"/>
      <c r="AC748" s="536"/>
      <c r="AD748" s="536"/>
      <c r="AE748" s="536"/>
      <c r="AF748" s="536"/>
      <c r="AG748" s="536"/>
      <c r="AH748" s="536"/>
      <c r="AI748" s="536"/>
      <c r="AJ748" s="536"/>
      <c r="AK748" s="536"/>
      <c r="AL748" s="536"/>
      <c r="AM748" s="549"/>
      <c r="AN748" s="680"/>
      <c r="AT748" s="14"/>
      <c r="AU748" s="14"/>
      <c r="AV748" s="14"/>
      <c r="AW748" s="14"/>
      <c r="AX748" s="14"/>
      <c r="AY748" s="14"/>
      <c r="AZ748" s="14"/>
    </row>
    <row r="749" spans="1:81" s="568" customFormat="1">
      <c r="A749" s="549"/>
      <c r="B749" s="536"/>
      <c r="C749" s="929"/>
      <c r="D749" s="536"/>
      <c r="E749" s="641"/>
      <c r="F749" s="641"/>
      <c r="G749" s="641"/>
      <c r="H749" s="641"/>
      <c r="I749" s="641"/>
      <c r="J749" s="641"/>
      <c r="K749" s="641"/>
      <c r="L749" s="641"/>
      <c r="M749" s="641"/>
      <c r="N749" s="641"/>
      <c r="O749" s="641"/>
      <c r="P749" s="641"/>
      <c r="Q749" s="641"/>
      <c r="R749" s="641"/>
      <c r="S749" s="641"/>
      <c r="T749" s="641"/>
      <c r="U749" s="641"/>
      <c r="V749" s="641"/>
      <c r="W749" s="641"/>
      <c r="X749" s="641"/>
      <c r="Y749" s="641"/>
      <c r="Z749" s="641"/>
      <c r="AA749" s="641"/>
      <c r="AB749" s="641"/>
      <c r="AC749" s="536"/>
      <c r="AD749" s="536"/>
      <c r="AE749" s="536"/>
      <c r="AF749" s="536"/>
      <c r="AG749" s="536"/>
      <c r="AH749" s="536"/>
      <c r="AI749" s="536"/>
      <c r="AJ749" s="536"/>
      <c r="AK749" s="536"/>
      <c r="AL749" s="536"/>
      <c r="AM749" s="549"/>
      <c r="AN749" s="680"/>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c r="BW749" s="14"/>
      <c r="BX749" s="14"/>
      <c r="BY749" s="14"/>
      <c r="BZ749" s="14"/>
      <c r="CA749" s="14"/>
      <c r="CB749" s="14"/>
      <c r="CC749" s="14"/>
    </row>
    <row r="750" spans="1:81" s="568" customFormat="1">
      <c r="A750" s="604"/>
      <c r="B750" s="599"/>
      <c r="C750" s="934"/>
      <c r="D750" s="599"/>
      <c r="E750" s="945"/>
      <c r="F750" s="945"/>
      <c r="G750" s="945"/>
      <c r="H750" s="945"/>
      <c r="I750" s="945"/>
      <c r="J750" s="945"/>
      <c r="K750" s="945"/>
      <c r="L750" s="945"/>
      <c r="M750" s="945"/>
      <c r="N750" s="945"/>
      <c r="O750" s="945"/>
      <c r="P750" s="945"/>
      <c r="Q750" s="945"/>
      <c r="R750" s="945"/>
      <c r="S750" s="945"/>
      <c r="T750" s="945"/>
      <c r="U750" s="945"/>
      <c r="V750" s="661"/>
      <c r="W750" s="661"/>
      <c r="X750" s="661"/>
      <c r="Y750" s="935"/>
      <c r="Z750" s="935"/>
      <c r="AA750" s="935"/>
      <c r="AB750" s="599"/>
      <c r="AC750" s="599"/>
      <c r="AD750" s="599"/>
      <c r="AE750" s="599"/>
      <c r="AF750" s="599"/>
      <c r="AG750" s="599"/>
      <c r="AH750" s="599"/>
      <c r="AI750" s="563" t="s">
        <v>1432</v>
      </c>
      <c r="AJ750" s="2390">
        <f>VLOOKUP($H$748,$AO$679:$AP$681,2,FALSE)</f>
        <v>0</v>
      </c>
      <c r="AK750" s="2391"/>
      <c r="AL750" s="593"/>
      <c r="AM750" s="549"/>
      <c r="AN750" s="680"/>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c r="BW750" s="14"/>
      <c r="BX750" s="14"/>
      <c r="BY750" s="14"/>
      <c r="BZ750" s="14"/>
      <c r="CA750" s="14"/>
      <c r="CB750" s="14"/>
      <c r="CC750" s="14"/>
    </row>
    <row r="751" spans="1:81" s="568" customFormat="1" ht="12.75" customHeight="1">
      <c r="A751" s="549"/>
      <c r="B751" s="536"/>
      <c r="C751" s="929"/>
      <c r="D751" s="536"/>
      <c r="E751" s="536"/>
      <c r="F751" s="536"/>
      <c r="G751" s="536"/>
      <c r="H751" s="536"/>
      <c r="I751" s="536"/>
      <c r="J751" s="641"/>
      <c r="K751" s="641"/>
      <c r="L751" s="641"/>
      <c r="M751" s="641"/>
      <c r="N751" s="536"/>
      <c r="O751" s="536"/>
      <c r="P751" s="536"/>
      <c r="Q751" s="536"/>
      <c r="R751" s="536"/>
      <c r="S751" s="536"/>
      <c r="T751" s="536"/>
      <c r="U751" s="536"/>
      <c r="V751" s="536"/>
      <c r="W751" s="536"/>
      <c r="X751" s="536"/>
      <c r="Y751" s="536"/>
      <c r="Z751" s="536"/>
      <c r="AA751" s="536"/>
      <c r="AB751" s="536"/>
      <c r="AC751" s="536"/>
      <c r="AD751" s="536"/>
      <c r="AE751" s="536"/>
      <c r="AF751" s="536"/>
      <c r="AG751" s="536"/>
      <c r="AH751" s="536"/>
      <c r="AI751" s="536"/>
      <c r="AJ751" s="536"/>
      <c r="AK751" s="536"/>
      <c r="AL751" s="536"/>
      <c r="AM751" s="549"/>
      <c r="AN751" s="680"/>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c r="BW751" s="14"/>
      <c r="BX751" s="14"/>
      <c r="BY751" s="14"/>
      <c r="BZ751" s="14"/>
      <c r="CA751" s="14"/>
      <c r="CB751" s="14"/>
      <c r="CC751" s="14"/>
    </row>
    <row r="752" spans="1:81" s="568" customFormat="1" ht="12.75" customHeight="1">
      <c r="A752" s="549"/>
      <c r="B752" s="536"/>
      <c r="C752" s="539" t="s">
        <v>1433</v>
      </c>
      <c r="D752" s="536"/>
      <c r="E752" s="536"/>
      <c r="F752" s="536"/>
      <c r="G752" s="536"/>
      <c r="H752" s="536"/>
      <c r="I752" s="536"/>
      <c r="J752" s="536"/>
      <c r="K752" s="536"/>
      <c r="L752" s="536"/>
      <c r="M752" s="536"/>
      <c r="N752" s="536"/>
      <c r="O752" s="536"/>
      <c r="P752" s="536"/>
      <c r="Q752" s="536"/>
      <c r="R752" s="536"/>
      <c r="S752" s="536"/>
      <c r="T752" s="536"/>
      <c r="U752" s="536"/>
      <c r="V752" s="536"/>
      <c r="W752" s="536"/>
      <c r="X752" s="536"/>
      <c r="Y752" s="536"/>
      <c r="Z752" s="536"/>
      <c r="AA752" s="536"/>
      <c r="AB752" s="536"/>
      <c r="AC752" s="536"/>
      <c r="AD752" s="536"/>
      <c r="AE752" s="536"/>
      <c r="AF752" s="536"/>
      <c r="AG752" s="536"/>
      <c r="AH752" s="536"/>
      <c r="AI752" s="536"/>
      <c r="AJ752" s="536"/>
      <c r="AK752" s="536"/>
      <c r="AL752" s="536"/>
      <c r="AM752" s="549"/>
      <c r="AN752" s="680"/>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c r="BW752" s="14"/>
      <c r="BX752" s="14"/>
      <c r="BY752" s="14"/>
      <c r="BZ752" s="14"/>
      <c r="CA752" s="14"/>
      <c r="CB752" s="14"/>
      <c r="CC752" s="14"/>
    </row>
    <row r="753" spans="1:81" s="568" customFormat="1">
      <c r="A753" s="549"/>
      <c r="B753" s="608"/>
      <c r="C753" s="949"/>
      <c r="D753" s="608"/>
      <c r="E753" s="608"/>
      <c r="F753" s="536"/>
      <c r="G753" s="536"/>
      <c r="H753" s="608"/>
      <c r="I753" s="608"/>
      <c r="J753" s="608"/>
      <c r="K753" s="608"/>
      <c r="L753" s="608"/>
      <c r="M753" s="608"/>
      <c r="N753" s="608"/>
      <c r="O753" s="608"/>
      <c r="P753" s="608"/>
      <c r="Q753" s="608"/>
      <c r="R753" s="608"/>
      <c r="S753" s="608"/>
      <c r="T753" s="536"/>
      <c r="U753" s="536"/>
      <c r="V753" s="536"/>
      <c r="W753" s="536"/>
      <c r="X753" s="593"/>
      <c r="Y753" s="593"/>
      <c r="Z753" s="593"/>
      <c r="AA753" s="593"/>
      <c r="AB753" s="593"/>
      <c r="AC753" s="536"/>
      <c r="AD753" s="536"/>
      <c r="AE753" s="536"/>
      <c r="AF753" s="536"/>
      <c r="AG753" s="536"/>
      <c r="AH753" s="536"/>
      <c r="AI753" s="536"/>
      <c r="AJ753" s="536"/>
      <c r="AK753" s="536"/>
      <c r="AL753" s="536"/>
      <c r="AM753" s="549"/>
      <c r="AN753" s="680"/>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c r="BW753" s="14"/>
      <c r="BX753" s="14"/>
      <c r="BY753" s="14"/>
      <c r="BZ753" s="14"/>
      <c r="CA753" s="14"/>
      <c r="CB753" s="14"/>
      <c r="CC753" s="14"/>
    </row>
    <row r="754" spans="1:81" s="568" customFormat="1">
      <c r="A754" s="549"/>
      <c r="B754" s="536"/>
      <c r="C754" s="927"/>
      <c r="D754" s="659" t="s">
        <v>687</v>
      </c>
      <c r="E754" s="2387" t="s">
        <v>1434</v>
      </c>
      <c r="F754" s="2387"/>
      <c r="G754" s="2387"/>
      <c r="H754" s="2387"/>
      <c r="I754" s="2387"/>
      <c r="J754" s="2387"/>
      <c r="K754" s="2387"/>
      <c r="L754" s="2387"/>
      <c r="M754" s="2387"/>
      <c r="N754" s="2387"/>
      <c r="O754" s="2387"/>
      <c r="P754" s="2387"/>
      <c r="Q754" s="2387"/>
      <c r="R754" s="2387"/>
      <c r="S754" s="2387"/>
      <c r="T754" s="2387"/>
      <c r="U754" s="2387"/>
      <c r="V754" s="2387"/>
      <c r="W754" s="2387"/>
      <c r="X754" s="2387"/>
      <c r="Y754" s="2387"/>
      <c r="Z754" s="2387"/>
      <c r="AA754" s="2387"/>
      <c r="AB754" s="2387"/>
      <c r="AC754" s="536"/>
      <c r="AD754" s="536"/>
      <c r="AE754" s="536"/>
      <c r="AF754" s="2388" t="s">
        <v>1346</v>
      </c>
      <c r="AG754" s="2388"/>
      <c r="AH754" s="2388"/>
      <c r="AI754" s="2388"/>
      <c r="AJ754" s="2388"/>
      <c r="AK754" s="2388"/>
      <c r="AL754" s="2388"/>
      <c r="AM754" s="549"/>
      <c r="AN754" s="680"/>
      <c r="AT754" s="14"/>
      <c r="AU754" s="14"/>
      <c r="AV754" s="14"/>
      <c r="AW754" s="14"/>
      <c r="AX754" s="14"/>
      <c r="AY754" s="14"/>
      <c r="AZ754" s="14"/>
    </row>
    <row r="755" spans="1:81" s="568" customFormat="1">
      <c r="A755" s="549"/>
      <c r="B755" s="536"/>
      <c r="C755" s="927"/>
      <c r="D755" s="659"/>
      <c r="E755" s="2387"/>
      <c r="F755" s="2387"/>
      <c r="G755" s="2387"/>
      <c r="H755" s="2387"/>
      <c r="I755" s="2387"/>
      <c r="J755" s="2387"/>
      <c r="K755" s="2387"/>
      <c r="L755" s="2387"/>
      <c r="M755" s="2387"/>
      <c r="N755" s="2387"/>
      <c r="O755" s="2387"/>
      <c r="P755" s="2387"/>
      <c r="Q755" s="2387"/>
      <c r="R755" s="2387"/>
      <c r="S755" s="2387"/>
      <c r="T755" s="2387"/>
      <c r="U755" s="2387"/>
      <c r="V755" s="2387"/>
      <c r="W755" s="2387"/>
      <c r="X755" s="2387"/>
      <c r="Y755" s="2387"/>
      <c r="Z755" s="2387"/>
      <c r="AA755" s="2387"/>
      <c r="AB755" s="2387"/>
      <c r="AC755" s="536"/>
      <c r="AD755" s="536"/>
      <c r="AE755" s="536"/>
      <c r="AF755" s="592"/>
      <c r="AG755" s="592"/>
      <c r="AH755" s="592"/>
      <c r="AI755" s="592"/>
      <c r="AJ755" s="592"/>
      <c r="AK755" s="592"/>
      <c r="AL755" s="592"/>
      <c r="AM755" s="549"/>
      <c r="AN755" s="680"/>
      <c r="AT755" s="14"/>
      <c r="AU755" s="14"/>
      <c r="AV755" s="14"/>
      <c r="AW755" s="14"/>
      <c r="AX755" s="14"/>
      <c r="AY755" s="14"/>
      <c r="AZ755" s="14"/>
    </row>
    <row r="756" spans="1:81" s="568" customFormat="1">
      <c r="A756" s="549"/>
      <c r="B756" s="536"/>
      <c r="C756" s="929"/>
      <c r="D756" s="659"/>
      <c r="E756" s="2387"/>
      <c r="F756" s="2387"/>
      <c r="G756" s="2387"/>
      <c r="H756" s="2387"/>
      <c r="I756" s="2387"/>
      <c r="J756" s="2387"/>
      <c r="K756" s="2387"/>
      <c r="L756" s="2387"/>
      <c r="M756" s="2387"/>
      <c r="N756" s="2387"/>
      <c r="O756" s="2387"/>
      <c r="P756" s="2387"/>
      <c r="Q756" s="2387"/>
      <c r="R756" s="2387"/>
      <c r="S756" s="2387"/>
      <c r="T756" s="2387"/>
      <c r="U756" s="2387"/>
      <c r="V756" s="2387"/>
      <c r="W756" s="2387"/>
      <c r="X756" s="2387"/>
      <c r="Y756" s="2387"/>
      <c r="Z756" s="2387"/>
      <c r="AA756" s="2387"/>
      <c r="AB756" s="2387"/>
      <c r="AC756" s="536"/>
      <c r="AD756" s="536"/>
      <c r="AE756" s="536"/>
      <c r="AF756" s="536"/>
      <c r="AG756" s="536"/>
      <c r="AH756" s="536"/>
      <c r="AI756" s="536"/>
      <c r="AJ756" s="536"/>
      <c r="AK756" s="536"/>
      <c r="AL756" s="536"/>
      <c r="AM756" s="549"/>
      <c r="AN756" s="680"/>
    </row>
    <row r="757" spans="1:81" s="568" customFormat="1" ht="12.75" customHeight="1">
      <c r="A757" s="549"/>
      <c r="B757" s="536"/>
      <c r="C757" s="929"/>
      <c r="D757" s="659"/>
      <c r="E757" s="2387"/>
      <c r="F757" s="2387"/>
      <c r="G757" s="2387"/>
      <c r="H757" s="2387"/>
      <c r="I757" s="2387"/>
      <c r="J757" s="2387"/>
      <c r="K757" s="2387"/>
      <c r="L757" s="2387"/>
      <c r="M757" s="2387"/>
      <c r="N757" s="2387"/>
      <c r="O757" s="2387"/>
      <c r="P757" s="2387"/>
      <c r="Q757" s="2387"/>
      <c r="R757" s="2387"/>
      <c r="S757" s="2387"/>
      <c r="T757" s="2387"/>
      <c r="U757" s="2387"/>
      <c r="V757" s="2387"/>
      <c r="W757" s="2387"/>
      <c r="X757" s="2387"/>
      <c r="Y757" s="2387"/>
      <c r="Z757" s="2387"/>
      <c r="AA757" s="2387"/>
      <c r="AB757" s="2387"/>
      <c r="AC757" s="536"/>
      <c r="AD757" s="536"/>
      <c r="AE757" s="536"/>
      <c r="AF757" s="536"/>
      <c r="AG757" s="536"/>
      <c r="AH757" s="536"/>
      <c r="AI757" s="536"/>
      <c r="AJ757" s="536"/>
      <c r="AK757" s="536"/>
      <c r="AL757" s="536"/>
      <c r="AM757" s="549"/>
      <c r="AN757" s="534"/>
      <c r="AO757" s="14"/>
    </row>
    <row r="758" spans="1:81" s="568" customFormat="1">
      <c r="A758" s="675"/>
      <c r="B758" s="593"/>
      <c r="C758" s="927"/>
      <c r="D758" s="659"/>
      <c r="E758" s="942"/>
      <c r="F758" s="942"/>
      <c r="G758" s="942"/>
      <c r="H758" s="942"/>
      <c r="I758" s="942"/>
      <c r="J758" s="942"/>
      <c r="K758" s="942"/>
      <c r="L758" s="942"/>
      <c r="M758" s="942"/>
      <c r="N758" s="942"/>
      <c r="O758" s="942"/>
      <c r="P758" s="942"/>
      <c r="Q758" s="942"/>
      <c r="R758" s="942"/>
      <c r="S758" s="942"/>
      <c r="T758" s="942"/>
      <c r="U758" s="942"/>
      <c r="V758" s="942"/>
      <c r="W758" s="942"/>
      <c r="X758" s="942"/>
      <c r="Y758" s="942"/>
      <c r="Z758" s="942"/>
      <c r="AA758" s="942"/>
      <c r="AB758" s="942"/>
      <c r="AC758" s="536"/>
      <c r="AD758" s="536"/>
      <c r="AE758" s="536"/>
      <c r="AF758" s="536"/>
      <c r="AG758" s="536"/>
      <c r="AH758" s="536"/>
      <c r="AI758" s="536"/>
      <c r="AJ758" s="536"/>
      <c r="AK758" s="536"/>
      <c r="AL758" s="536"/>
      <c r="AM758" s="549"/>
      <c r="AN758" s="680"/>
      <c r="AO758" s="30"/>
      <c r="AP758" s="14"/>
    </row>
    <row r="759" spans="1:81" s="568" customFormat="1">
      <c r="A759" s="549"/>
      <c r="B759" s="536"/>
      <c r="C759" s="927"/>
      <c r="D759" s="659" t="s">
        <v>509</v>
      </c>
      <c r="E759" s="2387" t="s">
        <v>1435</v>
      </c>
      <c r="F759" s="2387"/>
      <c r="G759" s="2387"/>
      <c r="H759" s="2387"/>
      <c r="I759" s="2387"/>
      <c r="J759" s="2387"/>
      <c r="K759" s="2387"/>
      <c r="L759" s="2387"/>
      <c r="M759" s="2387"/>
      <c r="N759" s="2387"/>
      <c r="O759" s="2387"/>
      <c r="P759" s="2387"/>
      <c r="Q759" s="2387"/>
      <c r="R759" s="2387"/>
      <c r="S759" s="2387"/>
      <c r="T759" s="2387"/>
      <c r="U759" s="2387"/>
      <c r="V759" s="2387"/>
      <c r="W759" s="2387"/>
      <c r="X759" s="2387"/>
      <c r="Y759" s="2387"/>
      <c r="Z759" s="2387"/>
      <c r="AA759" s="2387"/>
      <c r="AB759" s="573"/>
      <c r="AC759" s="536"/>
      <c r="AD759" s="536"/>
      <c r="AE759" s="536"/>
      <c r="AF759" s="2388" t="s">
        <v>1400</v>
      </c>
      <c r="AG759" s="2388"/>
      <c r="AH759" s="2388"/>
      <c r="AI759" s="2388"/>
      <c r="AJ759" s="2388"/>
      <c r="AK759" s="2388"/>
      <c r="AL759" s="2388"/>
      <c r="AM759" s="549"/>
      <c r="AN759" s="680"/>
      <c r="AO759" s="30"/>
      <c r="AP759" s="14"/>
    </row>
    <row r="760" spans="1:81" s="568" customFormat="1">
      <c r="A760" s="549"/>
      <c r="B760" s="536"/>
      <c r="C760" s="927"/>
      <c r="D760" s="659"/>
      <c r="E760" s="2387"/>
      <c r="F760" s="2387"/>
      <c r="G760" s="2387"/>
      <c r="H760" s="2387"/>
      <c r="I760" s="2387"/>
      <c r="J760" s="2387"/>
      <c r="K760" s="2387"/>
      <c r="L760" s="2387"/>
      <c r="M760" s="2387"/>
      <c r="N760" s="2387"/>
      <c r="O760" s="2387"/>
      <c r="P760" s="2387"/>
      <c r="Q760" s="2387"/>
      <c r="R760" s="2387"/>
      <c r="S760" s="2387"/>
      <c r="T760" s="2387"/>
      <c r="U760" s="2387"/>
      <c r="V760" s="2387"/>
      <c r="W760" s="2387"/>
      <c r="X760" s="2387"/>
      <c r="Y760" s="2387"/>
      <c r="Z760" s="2387"/>
      <c r="AA760" s="2387"/>
      <c r="AB760" s="573"/>
      <c r="AC760" s="536"/>
      <c r="AD760" s="536"/>
      <c r="AE760" s="536"/>
      <c r="AF760" s="592"/>
      <c r="AG760" s="592"/>
      <c r="AH760" s="592"/>
      <c r="AI760" s="592"/>
      <c r="AJ760" s="592"/>
      <c r="AK760" s="592"/>
      <c r="AL760" s="592"/>
      <c r="AM760" s="549"/>
      <c r="AN760" s="680"/>
      <c r="AO760" s="30"/>
      <c r="AP760" s="14"/>
    </row>
    <row r="761" spans="1:81" s="568" customFormat="1">
      <c r="A761" s="549"/>
      <c r="B761" s="536"/>
      <c r="C761" s="927"/>
      <c r="D761" s="536"/>
      <c r="E761" s="2387"/>
      <c r="F761" s="2387"/>
      <c r="G761" s="2387"/>
      <c r="H761" s="2387"/>
      <c r="I761" s="2387"/>
      <c r="J761" s="2387"/>
      <c r="K761" s="2387"/>
      <c r="L761" s="2387"/>
      <c r="M761" s="2387"/>
      <c r="N761" s="2387"/>
      <c r="O761" s="2387"/>
      <c r="P761" s="2387"/>
      <c r="Q761" s="2387"/>
      <c r="R761" s="2387"/>
      <c r="S761" s="2387"/>
      <c r="T761" s="2387"/>
      <c r="U761" s="2387"/>
      <c r="V761" s="2387"/>
      <c r="W761" s="2387"/>
      <c r="X761" s="2387"/>
      <c r="Y761" s="2387"/>
      <c r="Z761" s="2387"/>
      <c r="AA761" s="2387"/>
      <c r="AB761" s="573"/>
      <c r="AC761" s="592"/>
      <c r="AD761" s="592"/>
      <c r="AE761" s="592"/>
      <c r="AF761" s="592"/>
      <c r="AG761" s="592"/>
      <c r="AH761" s="592"/>
      <c r="AI761" s="592"/>
      <c r="AJ761" s="536"/>
      <c r="AK761" s="536"/>
      <c r="AL761" s="536"/>
      <c r="AM761" s="549"/>
      <c r="AN761" s="680"/>
      <c r="AO761" s="30"/>
      <c r="AP761" s="14"/>
    </row>
    <row r="762" spans="1:81" s="568" customFormat="1">
      <c r="A762" s="549"/>
      <c r="B762" s="536"/>
      <c r="C762" s="927"/>
      <c r="D762" s="536"/>
      <c r="E762" s="2387"/>
      <c r="F762" s="2387"/>
      <c r="G762" s="2387"/>
      <c r="H762" s="2387"/>
      <c r="I762" s="2387"/>
      <c r="J762" s="2387"/>
      <c r="K762" s="2387"/>
      <c r="L762" s="2387"/>
      <c r="M762" s="2387"/>
      <c r="N762" s="2387"/>
      <c r="O762" s="2387"/>
      <c r="P762" s="2387"/>
      <c r="Q762" s="2387"/>
      <c r="R762" s="2387"/>
      <c r="S762" s="2387"/>
      <c r="T762" s="2387"/>
      <c r="U762" s="2387"/>
      <c r="V762" s="2387"/>
      <c r="W762" s="2387"/>
      <c r="X762" s="2387"/>
      <c r="Y762" s="2387"/>
      <c r="Z762" s="2387"/>
      <c r="AA762" s="2387"/>
      <c r="AB762" s="573"/>
      <c r="AC762" s="592"/>
      <c r="AD762" s="592"/>
      <c r="AE762" s="592"/>
      <c r="AF762" s="592"/>
      <c r="AG762" s="592"/>
      <c r="AH762" s="592"/>
      <c r="AI762" s="592"/>
      <c r="AJ762" s="536"/>
      <c r="AK762" s="536"/>
      <c r="AL762" s="536"/>
      <c r="AM762" s="549"/>
      <c r="AN762" s="680"/>
      <c r="AO762" s="30"/>
      <c r="AP762" s="14"/>
    </row>
    <row r="763" spans="1:81" s="568" customFormat="1">
      <c r="A763" s="549"/>
      <c r="B763" s="536"/>
      <c r="C763" s="927"/>
      <c r="D763" s="536"/>
      <c r="E763" s="640"/>
      <c r="F763" s="640"/>
      <c r="G763" s="640"/>
      <c r="H763" s="640"/>
      <c r="I763" s="640"/>
      <c r="J763" s="640"/>
      <c r="K763" s="640"/>
      <c r="L763" s="640"/>
      <c r="M763" s="640"/>
      <c r="N763" s="640"/>
      <c r="O763" s="640"/>
      <c r="P763" s="640"/>
      <c r="Q763" s="640"/>
      <c r="R763" s="640"/>
      <c r="S763" s="640"/>
      <c r="T763" s="640"/>
      <c r="U763" s="640"/>
      <c r="V763" s="640"/>
      <c r="W763" s="640"/>
      <c r="X763" s="640"/>
      <c r="Y763" s="640"/>
      <c r="Z763" s="640"/>
      <c r="AA763" s="640"/>
      <c r="AB763" s="640"/>
      <c r="AC763" s="592"/>
      <c r="AD763" s="592"/>
      <c r="AE763" s="592"/>
      <c r="AF763" s="592"/>
      <c r="AG763" s="592"/>
      <c r="AH763" s="592"/>
      <c r="AI763" s="592"/>
      <c r="AJ763" s="536"/>
      <c r="AK763" s="536"/>
      <c r="AL763" s="536"/>
      <c r="AM763" s="549"/>
      <c r="AN763" s="680"/>
    </row>
    <row r="764" spans="1:81" s="568" customFormat="1" ht="12.75" customHeight="1">
      <c r="A764" s="549"/>
      <c r="B764" s="536"/>
      <c r="C764" s="927"/>
      <c r="D764" s="536" t="s">
        <v>1392</v>
      </c>
      <c r="E764" s="932"/>
      <c r="F764" s="932"/>
      <c r="G764" s="932"/>
      <c r="H764" s="2389" t="s">
        <v>591</v>
      </c>
      <c r="I764" s="2389"/>
      <c r="J764" s="640"/>
      <c r="K764" s="640"/>
      <c r="L764" s="640"/>
      <c r="M764" s="640"/>
      <c r="N764" s="640"/>
      <c r="O764" s="640"/>
      <c r="P764" s="640"/>
      <c r="Q764" s="640"/>
      <c r="R764" s="640"/>
      <c r="S764" s="640"/>
      <c r="T764" s="640"/>
      <c r="U764" s="640"/>
      <c r="V764" s="640"/>
      <c r="W764" s="640"/>
      <c r="X764" s="640"/>
      <c r="Y764" s="640"/>
      <c r="Z764" s="640"/>
      <c r="AA764" s="640"/>
      <c r="AB764" s="640"/>
      <c r="AC764" s="592"/>
      <c r="AD764" s="592"/>
      <c r="AE764" s="592"/>
      <c r="AF764" s="592"/>
      <c r="AG764" s="592"/>
      <c r="AH764" s="592"/>
      <c r="AI764" s="592"/>
      <c r="AJ764" s="536"/>
      <c r="AK764" s="536"/>
      <c r="AL764" s="536"/>
      <c r="AM764" s="549"/>
      <c r="AN764" s="680"/>
    </row>
    <row r="765" spans="1:81" s="568" customFormat="1" ht="12.75" customHeight="1">
      <c r="A765" s="549"/>
      <c r="B765" s="536"/>
      <c r="C765" s="927"/>
      <c r="D765" s="536"/>
      <c r="E765" s="640"/>
      <c r="F765" s="640"/>
      <c r="G765" s="640"/>
      <c r="H765" s="640"/>
      <c r="I765" s="640"/>
      <c r="J765" s="640"/>
      <c r="K765" s="640"/>
      <c r="L765" s="640"/>
      <c r="M765" s="640"/>
      <c r="N765" s="640"/>
      <c r="O765" s="640"/>
      <c r="P765" s="640"/>
      <c r="Q765" s="640"/>
      <c r="R765" s="640"/>
      <c r="S765" s="640"/>
      <c r="T765" s="640"/>
      <c r="U765" s="640"/>
      <c r="V765" s="640"/>
      <c r="W765" s="640"/>
      <c r="X765" s="640"/>
      <c r="Y765" s="640"/>
      <c r="Z765" s="640"/>
      <c r="AA765" s="640"/>
      <c r="AB765" s="640"/>
      <c r="AC765" s="592"/>
      <c r="AD765" s="592"/>
      <c r="AE765" s="592"/>
      <c r="AF765" s="592"/>
      <c r="AG765" s="592"/>
      <c r="AH765" s="592"/>
      <c r="AI765" s="592"/>
      <c r="AJ765" s="536"/>
      <c r="AK765" s="536"/>
      <c r="AL765" s="536"/>
      <c r="AM765" s="549"/>
      <c r="AN765" s="534"/>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81" s="568" customFormat="1">
      <c r="A766" s="604"/>
      <c r="B766" s="599"/>
      <c r="C766" s="940"/>
      <c r="D766" s="599"/>
      <c r="E766" s="950"/>
      <c r="F766" s="950"/>
      <c r="G766" s="950"/>
      <c r="H766" s="950"/>
      <c r="I766" s="950"/>
      <c r="J766" s="950"/>
      <c r="K766" s="950"/>
      <c r="L766" s="950"/>
      <c r="M766" s="950"/>
      <c r="N766" s="950"/>
      <c r="O766" s="950"/>
      <c r="P766" s="950"/>
      <c r="Q766" s="950"/>
      <c r="R766" s="950"/>
      <c r="S766" s="950"/>
      <c r="T766" s="950"/>
      <c r="U766" s="950"/>
      <c r="V766" s="950"/>
      <c r="W766" s="950"/>
      <c r="X766" s="950"/>
      <c r="Y766" s="950"/>
      <c r="Z766" s="950"/>
      <c r="AA766" s="950"/>
      <c r="AB766" s="683"/>
      <c r="AC766" s="683"/>
      <c r="AD766" s="683"/>
      <c r="AE766" s="683"/>
      <c r="AF766" s="683"/>
      <c r="AG766" s="683"/>
      <c r="AH766" s="599"/>
      <c r="AI766" s="563" t="s">
        <v>1436</v>
      </c>
      <c r="AJ766" s="2390">
        <f>VLOOKUP($H$764,$AO$693:$AP$695,2,FALSE)</f>
        <v>0</v>
      </c>
      <c r="AK766" s="2391"/>
      <c r="AL766" s="593"/>
      <c r="AM766" s="549"/>
      <c r="AN766" s="534"/>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81" s="568" customFormat="1" ht="12.75" customHeight="1">
      <c r="A767" s="635"/>
      <c r="B767" s="536"/>
      <c r="C767" s="929"/>
      <c r="D767" s="536"/>
      <c r="E767" s="536"/>
      <c r="F767" s="536"/>
      <c r="G767" s="536"/>
      <c r="H767" s="536"/>
      <c r="I767" s="536"/>
      <c r="J767" s="640"/>
      <c r="K767" s="640"/>
      <c r="L767" s="641"/>
      <c r="M767" s="641"/>
      <c r="N767" s="641"/>
      <c r="O767" s="641"/>
      <c r="P767" s="641"/>
      <c r="Q767" s="641"/>
      <c r="R767" s="641"/>
      <c r="S767" s="641"/>
      <c r="T767" s="641"/>
      <c r="U767" s="641"/>
      <c r="V767" s="614"/>
      <c r="W767" s="614"/>
      <c r="X767" s="614"/>
      <c r="Y767" s="614"/>
      <c r="Z767" s="932"/>
      <c r="AA767" s="932"/>
      <c r="AB767" s="932"/>
      <c r="AC767" s="536"/>
      <c r="AD767" s="536"/>
      <c r="AE767" s="536"/>
      <c r="AF767" s="536"/>
      <c r="AG767" s="536"/>
      <c r="AH767" s="536"/>
      <c r="AI767" s="536"/>
      <c r="AJ767" s="536"/>
      <c r="AK767" s="536"/>
      <c r="AL767" s="536"/>
      <c r="AM767" s="549"/>
      <c r="AN767" s="534"/>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81" s="568" customFormat="1">
      <c r="A768" s="549"/>
      <c r="B768" s="536"/>
      <c r="C768" s="539" t="s">
        <v>1426</v>
      </c>
      <c r="D768" s="614"/>
      <c r="E768" s="536"/>
      <c r="F768" s="536"/>
      <c r="G768" s="536"/>
      <c r="H768" s="536"/>
      <c r="I768" s="536"/>
      <c r="J768" s="536"/>
      <c r="K768" s="536"/>
      <c r="L768" s="536"/>
      <c r="M768" s="536"/>
      <c r="N768" s="536"/>
      <c r="O768" s="536"/>
      <c r="P768" s="536"/>
      <c r="Q768" s="536"/>
      <c r="R768" s="536"/>
      <c r="S768" s="536"/>
      <c r="T768" s="536"/>
      <c r="U768" s="536"/>
      <c r="V768" s="536"/>
      <c r="W768" s="536"/>
      <c r="X768" s="536"/>
      <c r="Y768" s="536"/>
      <c r="Z768" s="536"/>
      <c r="AA768" s="536"/>
      <c r="AB768" s="536"/>
      <c r="AC768" s="536"/>
      <c r="AD768" s="536"/>
      <c r="AE768" s="536"/>
      <c r="AF768" s="536"/>
      <c r="AG768" s="536"/>
      <c r="AH768" s="536"/>
      <c r="AI768" s="536"/>
      <c r="AJ768" s="536"/>
      <c r="AK768" s="536"/>
      <c r="AL768" s="536"/>
      <c r="AM768" s="549"/>
      <c r="AN768" s="534"/>
      <c r="AO768" s="30"/>
      <c r="AP768" s="14"/>
      <c r="AQ768" s="14"/>
      <c r="AR768" s="14"/>
      <c r="AS768" s="14"/>
      <c r="AT768" s="14"/>
      <c r="AU768" s="14"/>
      <c r="AV768" s="14"/>
      <c r="AW768" s="14"/>
      <c r="AX768" s="14"/>
      <c r="AY768" s="14"/>
      <c r="AZ768" s="14"/>
      <c r="BA768" s="14"/>
      <c r="BB768" s="14"/>
      <c r="BC768" s="14"/>
      <c r="BD768" s="32"/>
      <c r="BE768" s="32"/>
      <c r="BF768" s="32"/>
      <c r="BG768" s="32"/>
      <c r="BH768" s="32"/>
      <c r="BI768" s="14"/>
      <c r="BJ768" s="14"/>
      <c r="BK768" s="14"/>
      <c r="BL768" s="14"/>
      <c r="BM768" s="14"/>
      <c r="BN768" s="14"/>
      <c r="BO768" s="14"/>
      <c r="BP768" s="14"/>
      <c r="BQ768" s="14"/>
      <c r="BR768" s="14"/>
      <c r="BS768" s="14"/>
      <c r="BT768" s="14"/>
      <c r="BU768" s="14"/>
      <c r="BV768" s="14"/>
    </row>
    <row r="769" spans="1:74" s="568" customFormat="1">
      <c r="A769" s="549"/>
      <c r="B769" s="614"/>
      <c r="C769" s="536"/>
      <c r="D769" s="536"/>
      <c r="E769" s="614"/>
      <c r="F769" s="614"/>
      <c r="G769" s="614"/>
      <c r="H769" s="614"/>
      <c r="I769" s="614"/>
      <c r="J769" s="614"/>
      <c r="K769" s="614"/>
      <c r="L769" s="614"/>
      <c r="M769" s="614"/>
      <c r="N769" s="614"/>
      <c r="O769" s="614"/>
      <c r="P769" s="614"/>
      <c r="Q769" s="614"/>
      <c r="R769" s="614"/>
      <c r="S769" s="614"/>
      <c r="T769" s="614"/>
      <c r="U769" s="614"/>
      <c r="V769" s="614"/>
      <c r="W769" s="614"/>
      <c r="X769" s="614"/>
      <c r="Y769" s="614"/>
      <c r="Z769" s="614"/>
      <c r="AA769" s="614"/>
      <c r="AB769" s="614"/>
      <c r="AC769" s="614"/>
      <c r="AD769" s="614"/>
      <c r="AE769" s="614"/>
      <c r="AF769" s="614"/>
      <c r="AG769" s="614"/>
      <c r="AH769" s="614"/>
      <c r="AI769" s="536"/>
      <c r="AJ769" s="536"/>
      <c r="AK769" s="536"/>
      <c r="AL769" s="536"/>
      <c r="AM769" s="549"/>
      <c r="AN769" s="534"/>
      <c r="AO769" s="30"/>
      <c r="AP769" s="14"/>
      <c r="AQ769" s="14"/>
      <c r="AR769" s="14"/>
      <c r="AS769" s="14"/>
      <c r="AT769" s="14"/>
      <c r="AU769" s="14"/>
      <c r="AV769" s="14"/>
      <c r="AW769" s="14"/>
      <c r="AX769" s="14"/>
      <c r="AY769" s="14"/>
      <c r="AZ769" s="14"/>
      <c r="BA769" s="14"/>
      <c r="BB769" s="14"/>
      <c r="BC769" s="14"/>
      <c r="BD769" s="32"/>
      <c r="BE769" s="32"/>
      <c r="BF769" s="32"/>
      <c r="BG769" s="32"/>
      <c r="BH769" s="32"/>
      <c r="BI769" s="14"/>
      <c r="BJ769" s="14"/>
      <c r="BK769" s="14"/>
      <c r="BL769" s="14"/>
      <c r="BM769" s="14"/>
      <c r="BN769" s="14"/>
      <c r="BO769" s="14"/>
      <c r="BP769" s="14"/>
      <c r="BQ769" s="14"/>
      <c r="BR769" s="14"/>
      <c r="BS769" s="14"/>
      <c r="BT769" s="14"/>
      <c r="BU769" s="14"/>
      <c r="BV769" s="14"/>
    </row>
    <row r="770" spans="1:74" s="568" customFormat="1">
      <c r="A770" s="549"/>
      <c r="B770" s="536"/>
      <c r="C770" s="927"/>
      <c r="D770" s="659" t="s">
        <v>687</v>
      </c>
      <c r="E770" s="2387" t="s">
        <v>1437</v>
      </c>
      <c r="F770" s="2387"/>
      <c r="G770" s="2387"/>
      <c r="H770" s="2387"/>
      <c r="I770" s="2387"/>
      <c r="J770" s="2387"/>
      <c r="K770" s="2387"/>
      <c r="L770" s="2387"/>
      <c r="M770" s="2387"/>
      <c r="N770" s="2387"/>
      <c r="O770" s="2387"/>
      <c r="P770" s="2387"/>
      <c r="Q770" s="2387"/>
      <c r="R770" s="2387"/>
      <c r="S770" s="2387"/>
      <c r="T770" s="2387"/>
      <c r="U770" s="2387"/>
      <c r="V770" s="2387"/>
      <c r="W770" s="2387"/>
      <c r="X770" s="2387"/>
      <c r="Y770" s="2387"/>
      <c r="Z770" s="2387"/>
      <c r="AA770" s="2387"/>
      <c r="AB770" s="2387"/>
      <c r="AC770" s="536"/>
      <c r="AD770" s="536"/>
      <c r="AE770" s="536"/>
      <c r="AF770" s="2388" t="s">
        <v>1400</v>
      </c>
      <c r="AG770" s="2388"/>
      <c r="AH770" s="2388"/>
      <c r="AI770" s="2388"/>
      <c r="AJ770" s="2388"/>
      <c r="AK770" s="2388"/>
      <c r="AL770" s="2388"/>
      <c r="AM770" s="549"/>
      <c r="AN770" s="534"/>
      <c r="AO770" s="30"/>
      <c r="AP770" s="14"/>
      <c r="AQ770" s="14"/>
      <c r="AR770" s="14"/>
      <c r="AS770" s="14"/>
      <c r="AT770" s="14"/>
      <c r="AU770" s="14"/>
      <c r="AV770" s="14"/>
      <c r="AW770" s="14"/>
      <c r="AX770" s="14"/>
      <c r="AY770" s="14"/>
      <c r="AZ770" s="14"/>
      <c r="BA770" s="14"/>
      <c r="BB770" s="14"/>
      <c r="BC770" s="14"/>
      <c r="BD770" s="32"/>
      <c r="BE770" s="32"/>
      <c r="BF770" s="32"/>
      <c r="BG770" s="32"/>
      <c r="BH770" s="32"/>
      <c r="BI770" s="14"/>
      <c r="BJ770" s="14"/>
      <c r="BK770" s="14"/>
      <c r="BL770" s="14"/>
      <c r="BM770" s="14"/>
      <c r="BN770" s="14"/>
      <c r="BO770" s="14"/>
      <c r="BP770" s="14"/>
      <c r="BQ770" s="14"/>
      <c r="BR770" s="14"/>
      <c r="BS770" s="14"/>
      <c r="BT770" s="14"/>
      <c r="BU770" s="14"/>
      <c r="BV770" s="14"/>
    </row>
    <row r="771" spans="1:74" s="568" customFormat="1">
      <c r="A771" s="549"/>
      <c r="B771" s="536"/>
      <c r="C771" s="929"/>
      <c r="D771" s="659"/>
      <c r="E771" s="2387"/>
      <c r="F771" s="2387"/>
      <c r="G771" s="2387"/>
      <c r="H771" s="2387"/>
      <c r="I771" s="2387"/>
      <c r="J771" s="2387"/>
      <c r="K771" s="2387"/>
      <c r="L771" s="2387"/>
      <c r="M771" s="2387"/>
      <c r="N771" s="2387"/>
      <c r="O771" s="2387"/>
      <c r="P771" s="2387"/>
      <c r="Q771" s="2387"/>
      <c r="R771" s="2387"/>
      <c r="S771" s="2387"/>
      <c r="T771" s="2387"/>
      <c r="U771" s="2387"/>
      <c r="V771" s="2387"/>
      <c r="W771" s="2387"/>
      <c r="X771" s="2387"/>
      <c r="Y771" s="2387"/>
      <c r="Z771" s="2387"/>
      <c r="AA771" s="2387"/>
      <c r="AB771" s="2387"/>
      <c r="AC771" s="536"/>
      <c r="AD771" s="536"/>
      <c r="AE771" s="536"/>
      <c r="AF771" s="536"/>
      <c r="AG771" s="536"/>
      <c r="AH771" s="536"/>
      <c r="AI771" s="536"/>
      <c r="AJ771" s="536"/>
      <c r="AK771" s="536"/>
      <c r="AL771" s="536"/>
      <c r="AM771" s="549"/>
      <c r="AN771" s="534"/>
      <c r="AO771" s="30"/>
      <c r="AP771" s="14"/>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c r="BV771" s="14"/>
    </row>
    <row r="772" spans="1:74" s="568" customFormat="1">
      <c r="A772" s="549"/>
      <c r="B772" s="614"/>
      <c r="C772" s="936"/>
      <c r="D772" s="659"/>
      <c r="E772" s="614"/>
      <c r="F772" s="614"/>
      <c r="G772" s="614"/>
      <c r="H772" s="614"/>
      <c r="I772" s="614"/>
      <c r="J772" s="614"/>
      <c r="K772" s="614"/>
      <c r="L772" s="614"/>
      <c r="M772" s="614"/>
      <c r="N772" s="614"/>
      <c r="O772" s="614"/>
      <c r="P772" s="614"/>
      <c r="Q772" s="614"/>
      <c r="R772" s="614"/>
      <c r="S772" s="614"/>
      <c r="T772" s="614"/>
      <c r="U772" s="614"/>
      <c r="V772" s="614"/>
      <c r="W772" s="614"/>
      <c r="X772" s="614"/>
      <c r="Y772" s="614"/>
      <c r="Z772" s="614"/>
      <c r="AA772" s="614"/>
      <c r="AB772" s="614"/>
      <c r="AC772" s="536"/>
      <c r="AD772" s="536"/>
      <c r="AE772" s="614"/>
      <c r="AF772" s="614"/>
      <c r="AG772" s="614"/>
      <c r="AH772" s="614"/>
      <c r="AI772" s="614"/>
      <c r="AJ772" s="614"/>
      <c r="AK772" s="536"/>
      <c r="AL772" s="536"/>
      <c r="AM772" s="549"/>
      <c r="AN772" s="534"/>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c r="BV772" s="14"/>
    </row>
    <row r="773" spans="1:74" s="568" customFormat="1">
      <c r="A773" s="635"/>
      <c r="B773" s="536"/>
      <c r="C773" s="927"/>
      <c r="D773" s="659" t="s">
        <v>509</v>
      </c>
      <c r="E773" s="2387" t="s">
        <v>1438</v>
      </c>
      <c r="F773" s="2387"/>
      <c r="G773" s="2387"/>
      <c r="H773" s="2387"/>
      <c r="I773" s="2387"/>
      <c r="J773" s="2387"/>
      <c r="K773" s="2387"/>
      <c r="L773" s="2387"/>
      <c r="M773" s="2387"/>
      <c r="N773" s="2387"/>
      <c r="O773" s="2387"/>
      <c r="P773" s="2387"/>
      <c r="Q773" s="2387"/>
      <c r="R773" s="2387"/>
      <c r="S773" s="2387"/>
      <c r="T773" s="2387"/>
      <c r="U773" s="2387"/>
      <c r="V773" s="2387"/>
      <c r="W773" s="2387"/>
      <c r="X773" s="2387"/>
      <c r="Y773" s="2387"/>
      <c r="Z773" s="2387"/>
      <c r="AA773" s="2387"/>
      <c r="AB773" s="2387"/>
      <c r="AC773" s="536"/>
      <c r="AD773" s="536"/>
      <c r="AE773" s="536"/>
      <c r="AF773" s="2388" t="s">
        <v>1417</v>
      </c>
      <c r="AG773" s="2388"/>
      <c r="AH773" s="2388"/>
      <c r="AI773" s="2388"/>
      <c r="AJ773" s="2388"/>
      <c r="AK773" s="2388"/>
      <c r="AL773" s="2388"/>
      <c r="AM773" s="549"/>
      <c r="AN773" s="534"/>
      <c r="AO773" s="30"/>
      <c r="AP773" s="14"/>
      <c r="AQ773" s="14"/>
      <c r="AR773" s="14"/>
      <c r="AS773" s="14"/>
      <c r="AT773" s="14"/>
      <c r="AU773" s="14"/>
      <c r="AV773" s="14"/>
      <c r="AW773" s="14"/>
      <c r="AX773" s="14"/>
      <c r="AY773" s="14"/>
      <c r="AZ773" s="14"/>
      <c r="BA773" s="14"/>
      <c r="BB773" s="14"/>
      <c r="BC773" s="14"/>
      <c r="BD773" s="32"/>
      <c r="BE773" s="32"/>
      <c r="BF773" s="32"/>
      <c r="BG773" s="32"/>
      <c r="BH773" s="32"/>
      <c r="BI773" s="14"/>
      <c r="BJ773" s="14"/>
      <c r="BK773" s="14"/>
      <c r="BL773" s="14"/>
      <c r="BM773" s="14"/>
      <c r="BN773" s="14"/>
      <c r="BO773" s="14"/>
      <c r="BP773" s="14"/>
      <c r="BQ773" s="14"/>
      <c r="BR773" s="14"/>
      <c r="BS773" s="14"/>
      <c r="BT773" s="14"/>
      <c r="BU773" s="14"/>
      <c r="BV773" s="14"/>
    </row>
    <row r="774" spans="1:74" s="568" customFormat="1" ht="12.75" customHeight="1">
      <c r="A774" s="635"/>
      <c r="B774" s="536"/>
      <c r="C774" s="927"/>
      <c r="D774" s="659"/>
      <c r="E774" s="2387"/>
      <c r="F774" s="2387"/>
      <c r="G774" s="2387"/>
      <c r="H774" s="2387"/>
      <c r="I774" s="2387"/>
      <c r="J774" s="2387"/>
      <c r="K774" s="2387"/>
      <c r="L774" s="2387"/>
      <c r="M774" s="2387"/>
      <c r="N774" s="2387"/>
      <c r="O774" s="2387"/>
      <c r="P774" s="2387"/>
      <c r="Q774" s="2387"/>
      <c r="R774" s="2387"/>
      <c r="S774" s="2387"/>
      <c r="T774" s="2387"/>
      <c r="U774" s="2387"/>
      <c r="V774" s="2387"/>
      <c r="W774" s="2387"/>
      <c r="X774" s="2387"/>
      <c r="Y774" s="2387"/>
      <c r="Z774" s="2387"/>
      <c r="AA774" s="2387"/>
      <c r="AB774" s="2387"/>
      <c r="AC774" s="536"/>
      <c r="AD774" s="536"/>
      <c r="AE774" s="592"/>
      <c r="AF774" s="536"/>
      <c r="AG774" s="536"/>
      <c r="AH774" s="536"/>
      <c r="AI774" s="536"/>
      <c r="AJ774" s="536"/>
      <c r="AK774" s="536"/>
      <c r="AL774" s="536"/>
      <c r="AM774" s="549"/>
      <c r="AN774" s="534"/>
      <c r="AO774" s="30"/>
      <c r="AP774" s="14"/>
      <c r="AQ774" s="14"/>
      <c r="AR774" s="14"/>
      <c r="AS774" s="14"/>
      <c r="AT774" s="14"/>
      <c r="AU774" s="14"/>
      <c r="AV774" s="14"/>
      <c r="AW774" s="14"/>
      <c r="AX774" s="14"/>
      <c r="AY774" s="14"/>
      <c r="AZ774" s="14"/>
      <c r="BA774" s="14"/>
      <c r="BB774" s="14"/>
      <c r="BC774" s="14"/>
      <c r="BD774" s="32"/>
      <c r="BE774" s="32"/>
      <c r="BF774" s="32"/>
      <c r="BG774" s="32"/>
      <c r="BH774" s="32"/>
      <c r="BI774" s="14"/>
      <c r="BJ774" s="14"/>
      <c r="BK774" s="14"/>
      <c r="BL774" s="14"/>
      <c r="BM774" s="14"/>
      <c r="BN774" s="14"/>
      <c r="BO774" s="14"/>
      <c r="BP774" s="14"/>
      <c r="BQ774" s="14"/>
      <c r="BR774" s="14"/>
      <c r="BS774" s="14"/>
      <c r="BT774" s="14"/>
      <c r="BU774" s="14"/>
      <c r="BV774" s="14"/>
    </row>
    <row r="775" spans="1:74" s="568" customFormat="1">
      <c r="A775" s="549"/>
      <c r="B775" s="536"/>
      <c r="C775" s="929"/>
      <c r="D775" s="536"/>
      <c r="E775" s="641"/>
      <c r="F775" s="641"/>
      <c r="G775" s="641"/>
      <c r="H775" s="641"/>
      <c r="I775" s="641"/>
      <c r="J775" s="641"/>
      <c r="K775" s="641"/>
      <c r="L775" s="641"/>
      <c r="M775" s="641"/>
      <c r="N775" s="641"/>
      <c r="O775" s="641"/>
      <c r="P775" s="641"/>
      <c r="Q775" s="641"/>
      <c r="R775" s="641"/>
      <c r="S775" s="641"/>
      <c r="T775" s="641"/>
      <c r="U775" s="641"/>
      <c r="V775" s="641"/>
      <c r="W775" s="641"/>
      <c r="X775" s="641"/>
      <c r="Y775" s="641"/>
      <c r="Z775" s="641"/>
      <c r="AA775" s="641"/>
      <c r="AB775" s="641"/>
      <c r="AC775" s="536"/>
      <c r="AD775" s="536"/>
      <c r="AE775" s="614"/>
      <c r="AF775" s="614"/>
      <c r="AG775" s="614"/>
      <c r="AH775" s="614"/>
      <c r="AI775" s="536"/>
      <c r="AJ775" s="536"/>
      <c r="AK775" s="536"/>
      <c r="AL775" s="536"/>
      <c r="AM775" s="549"/>
      <c r="AN775" s="534"/>
      <c r="AO775" s="30"/>
      <c r="AP775" s="14"/>
      <c r="AQ775" s="14"/>
      <c r="AR775" s="14"/>
      <c r="AS775" s="14"/>
      <c r="AT775" s="14"/>
      <c r="AU775" s="14"/>
      <c r="AV775" s="14"/>
      <c r="AW775" s="14"/>
      <c r="AX775" s="14"/>
      <c r="AY775" s="14"/>
      <c r="AZ775" s="14"/>
      <c r="BA775" s="14"/>
      <c r="BB775" s="14"/>
      <c r="BC775" s="14"/>
      <c r="BD775" s="32"/>
      <c r="BE775" s="32"/>
      <c r="BF775" s="32"/>
      <c r="BG775" s="32"/>
      <c r="BH775" s="32"/>
      <c r="BI775" s="14"/>
      <c r="BJ775" s="14"/>
      <c r="BK775" s="14"/>
      <c r="BL775" s="14"/>
      <c r="BM775" s="14"/>
      <c r="BN775" s="14"/>
      <c r="BO775" s="14"/>
      <c r="BP775" s="14"/>
      <c r="BQ775" s="14"/>
      <c r="BR775" s="14"/>
      <c r="BS775" s="14"/>
      <c r="BT775" s="14"/>
      <c r="BU775" s="14"/>
      <c r="BV775" s="14"/>
    </row>
    <row r="776" spans="1:74" s="568" customFormat="1" ht="12.75" customHeight="1">
      <c r="A776" s="549"/>
      <c r="B776" s="536"/>
      <c r="C776" s="536"/>
      <c r="D776" s="536" t="s">
        <v>1392</v>
      </c>
      <c r="E776" s="932"/>
      <c r="F776" s="932"/>
      <c r="G776" s="932"/>
      <c r="H776" s="2389" t="s">
        <v>687</v>
      </c>
      <c r="I776" s="2389"/>
      <c r="J776" s="641"/>
      <c r="K776" s="641"/>
      <c r="L776" s="641"/>
      <c r="M776" s="641"/>
      <c r="N776" s="641"/>
      <c r="O776" s="641"/>
      <c r="P776" s="641"/>
      <c r="Q776" s="536"/>
      <c r="R776" s="536"/>
      <c r="S776" s="536"/>
      <c r="T776" s="536"/>
      <c r="U776" s="536"/>
      <c r="V776" s="536"/>
      <c r="W776" s="641"/>
      <c r="X776" s="641"/>
      <c r="Y776" s="641"/>
      <c r="Z776" s="641"/>
      <c r="AA776" s="641"/>
      <c r="AB776" s="641"/>
      <c r="AC776" s="536"/>
      <c r="AD776" s="536"/>
      <c r="AE776" s="614"/>
      <c r="AF776" s="614"/>
      <c r="AG776" s="614"/>
      <c r="AH776" s="614"/>
      <c r="AI776" s="536"/>
      <c r="AJ776" s="536"/>
      <c r="AK776" s="536"/>
      <c r="AL776" s="536"/>
      <c r="AM776" s="549"/>
      <c r="AN776" s="534"/>
      <c r="AO776" s="30"/>
      <c r="AP776" s="14"/>
      <c r="AQ776" s="14"/>
      <c r="AR776" s="14"/>
      <c r="AS776" s="14"/>
      <c r="AT776" s="14"/>
      <c r="AU776" s="14"/>
      <c r="AV776" s="14"/>
      <c r="AW776" s="14"/>
      <c r="AX776" s="14"/>
      <c r="AY776" s="14"/>
      <c r="AZ776" s="14"/>
      <c r="BA776" s="14"/>
      <c r="BB776" s="14"/>
      <c r="BC776" s="14"/>
      <c r="BD776" s="32"/>
      <c r="BE776" s="32"/>
      <c r="BF776" s="32"/>
      <c r="BG776" s="32"/>
      <c r="BH776" s="32"/>
      <c r="BI776" s="14"/>
      <c r="BJ776" s="14"/>
      <c r="BK776" s="14"/>
      <c r="BL776" s="14"/>
      <c r="BM776" s="14"/>
      <c r="BN776" s="14"/>
      <c r="BO776" s="14"/>
      <c r="BP776" s="14"/>
      <c r="BQ776" s="14"/>
      <c r="BR776" s="14"/>
      <c r="BS776" s="14"/>
      <c r="BT776" s="14"/>
      <c r="BU776" s="14"/>
      <c r="BV776" s="14"/>
    </row>
    <row r="777" spans="1:74" s="568" customFormat="1" ht="12.75" customHeight="1">
      <c r="A777" s="549"/>
      <c r="B777" s="614"/>
      <c r="C777" s="936"/>
      <c r="D777" s="614"/>
      <c r="E777" s="614"/>
      <c r="F777" s="614"/>
      <c r="G777" s="614"/>
      <c r="H777" s="614"/>
      <c r="I777" s="614"/>
      <c r="J777" s="614"/>
      <c r="K777" s="614"/>
      <c r="L777" s="614"/>
      <c r="M777" s="614"/>
      <c r="N777" s="614"/>
      <c r="O777" s="614"/>
      <c r="P777" s="614"/>
      <c r="Q777" s="614"/>
      <c r="R777" s="614"/>
      <c r="S777" s="614"/>
      <c r="T777" s="614"/>
      <c r="U777" s="614"/>
      <c r="V777" s="614"/>
      <c r="W777" s="614"/>
      <c r="X777" s="614"/>
      <c r="Y777" s="614"/>
      <c r="Z777" s="614"/>
      <c r="AA777" s="614"/>
      <c r="AB777" s="614"/>
      <c r="AC777" s="614"/>
      <c r="AD777" s="614"/>
      <c r="AE777" s="614"/>
      <c r="AF777" s="614"/>
      <c r="AG777" s="614"/>
      <c r="AH777" s="614"/>
      <c r="AI777" s="536"/>
      <c r="AJ777" s="536"/>
      <c r="AK777" s="536"/>
      <c r="AL777" s="536"/>
      <c r="AM777" s="549"/>
      <c r="AN777" s="534"/>
      <c r="AO777" s="30"/>
      <c r="AP777" s="14"/>
      <c r="AQ777" s="14"/>
      <c r="AR777" s="14"/>
      <c r="AS777" s="14"/>
      <c r="AT777" s="14"/>
      <c r="AU777" s="14"/>
      <c r="AV777" s="14"/>
      <c r="AW777" s="14"/>
      <c r="AX777" s="14"/>
      <c r="AY777" s="14"/>
      <c r="AZ777" s="14"/>
      <c r="BA777" s="14"/>
      <c r="BB777" s="14"/>
      <c r="BC777" s="14"/>
      <c r="BD777" s="32"/>
      <c r="BE777" s="32"/>
      <c r="BF777" s="32"/>
      <c r="BG777" s="32"/>
      <c r="BH777" s="32"/>
      <c r="BI777" s="14"/>
      <c r="BJ777" s="14"/>
      <c r="BK777" s="14"/>
      <c r="BL777" s="14"/>
      <c r="BM777" s="14"/>
      <c r="BN777" s="14"/>
      <c r="BO777" s="14"/>
      <c r="BP777" s="14"/>
      <c r="BQ777" s="14"/>
      <c r="BR777" s="14"/>
      <c r="BS777" s="14"/>
      <c r="BT777" s="14"/>
      <c r="BU777" s="14"/>
      <c r="BV777" s="14"/>
    </row>
    <row r="778" spans="1:74" s="568" customFormat="1" ht="13.9" customHeight="1">
      <c r="A778" s="604"/>
      <c r="B778" s="661"/>
      <c r="C778" s="951"/>
      <c r="D778" s="661"/>
      <c r="E778" s="661"/>
      <c r="F778" s="661"/>
      <c r="G778" s="661"/>
      <c r="H778" s="661"/>
      <c r="I778" s="661"/>
      <c r="J778" s="661"/>
      <c r="K778" s="661"/>
      <c r="L778" s="661"/>
      <c r="M778" s="661"/>
      <c r="N778" s="661"/>
      <c r="O778" s="661"/>
      <c r="P778" s="661"/>
      <c r="Q778" s="661"/>
      <c r="R778" s="661"/>
      <c r="S778" s="661"/>
      <c r="T778" s="661"/>
      <c r="U778" s="661"/>
      <c r="V778" s="661"/>
      <c r="W778" s="661"/>
      <c r="X778" s="661"/>
      <c r="Y778" s="661"/>
      <c r="Z778" s="661"/>
      <c r="AA778" s="661"/>
      <c r="AB778" s="661"/>
      <c r="AC778" s="661"/>
      <c r="AD778" s="661"/>
      <c r="AE778" s="661"/>
      <c r="AF778" s="661"/>
      <c r="AG778" s="661"/>
      <c r="AH778" s="599"/>
      <c r="AI778" s="563" t="s">
        <v>1439</v>
      </c>
      <c r="AJ778" s="2390">
        <f>VLOOKUP($H$776,$AO$710:$AP$712,2,FALSE)</f>
        <v>2</v>
      </c>
      <c r="AK778" s="2391"/>
      <c r="AL778" s="593"/>
      <c r="AM778" s="549"/>
      <c r="AN778" s="534"/>
      <c r="AO778" s="30"/>
      <c r="AP778" s="14"/>
      <c r="AQ778" s="14"/>
      <c r="AR778" s="14"/>
      <c r="AS778" s="14"/>
      <c r="AT778" s="14"/>
      <c r="AU778" s="14"/>
      <c r="AV778" s="14"/>
      <c r="AW778" s="14"/>
      <c r="AX778" s="14"/>
      <c r="AY778" s="14"/>
      <c r="AZ778" s="14"/>
      <c r="BA778" s="14"/>
      <c r="BB778" s="14"/>
      <c r="BC778" s="14"/>
      <c r="BD778" s="32"/>
      <c r="BE778" s="32"/>
      <c r="BF778" s="32"/>
      <c r="BG778" s="32"/>
      <c r="BH778" s="32"/>
      <c r="BI778" s="14"/>
      <c r="BJ778" s="14"/>
      <c r="BK778" s="14"/>
      <c r="BL778" s="14"/>
      <c r="BM778" s="14"/>
      <c r="BN778" s="14"/>
      <c r="BO778" s="14"/>
      <c r="BP778" s="14"/>
      <c r="BQ778" s="14"/>
      <c r="BR778" s="14"/>
      <c r="BS778" s="14"/>
      <c r="BT778" s="14"/>
      <c r="BU778" s="14"/>
      <c r="BV778" s="14"/>
    </row>
    <row r="779" spans="1:74" s="568" customFormat="1">
      <c r="A779" s="549"/>
      <c r="B779" s="614"/>
      <c r="C779" s="936"/>
      <c r="D779" s="614"/>
      <c r="E779" s="614"/>
      <c r="F779" s="614"/>
      <c r="G779" s="614"/>
      <c r="H779" s="614"/>
      <c r="I779" s="614"/>
      <c r="J779" s="614"/>
      <c r="K779" s="614"/>
      <c r="L779" s="614"/>
      <c r="M779" s="614"/>
      <c r="N779" s="614"/>
      <c r="O779" s="614"/>
      <c r="P779" s="614"/>
      <c r="Q779" s="614"/>
      <c r="R779" s="614"/>
      <c r="S779" s="614"/>
      <c r="T779" s="614"/>
      <c r="U779" s="614"/>
      <c r="V779" s="614"/>
      <c r="W779" s="614"/>
      <c r="X779" s="614"/>
      <c r="Y779" s="614"/>
      <c r="Z779" s="614"/>
      <c r="AA779" s="614"/>
      <c r="AB779" s="614"/>
      <c r="AC779" s="614"/>
      <c r="AD779" s="614"/>
      <c r="AE779" s="614"/>
      <c r="AF779" s="614"/>
      <c r="AG779" s="614"/>
      <c r="AH779" s="536"/>
      <c r="AI779" s="543"/>
      <c r="AJ779" s="593"/>
      <c r="AK779" s="593"/>
      <c r="AL779" s="593"/>
      <c r="AM779" s="549"/>
      <c r="AN779" s="534"/>
      <c r="AO779" s="30"/>
      <c r="AP779" s="14"/>
      <c r="AQ779" s="14"/>
      <c r="AR779" s="14"/>
      <c r="AS779" s="14"/>
      <c r="AT779" s="14"/>
      <c r="AU779" s="14"/>
      <c r="AV779" s="14"/>
      <c r="AW779" s="14"/>
      <c r="AX779" s="14"/>
      <c r="AY779" s="14"/>
      <c r="AZ779" s="14"/>
      <c r="BA779" s="14"/>
      <c r="BB779" s="14"/>
      <c r="BC779" s="14"/>
      <c r="BD779" s="32"/>
      <c r="BE779" s="32"/>
      <c r="BF779" s="32"/>
      <c r="BG779" s="32"/>
      <c r="BH779" s="32"/>
      <c r="BI779" s="14"/>
      <c r="BJ779" s="14"/>
      <c r="BK779" s="14"/>
      <c r="BL779" s="14"/>
      <c r="BM779" s="14"/>
      <c r="BN779" s="14"/>
      <c r="BO779" s="14"/>
      <c r="BP779" s="14"/>
      <c r="BQ779" s="14"/>
      <c r="BR779" s="14"/>
      <c r="BS779" s="14"/>
      <c r="BT779" s="14"/>
      <c r="BU779" s="14"/>
      <c r="BV779" s="14"/>
    </row>
    <row r="780" spans="1:74" s="568" customFormat="1">
      <c r="A780" s="549"/>
      <c r="B780" s="614"/>
      <c r="C780" s="539" t="s">
        <v>1428</v>
      </c>
      <c r="D780" s="614"/>
      <c r="E780" s="614"/>
      <c r="F780" s="614"/>
      <c r="G780" s="614"/>
      <c r="H780" s="614"/>
      <c r="I780" s="614"/>
      <c r="J780" s="614"/>
      <c r="K780" s="614"/>
      <c r="L780" s="614"/>
      <c r="M780" s="614"/>
      <c r="N780" s="614"/>
      <c r="O780" s="614"/>
      <c r="P780" s="614"/>
      <c r="Q780" s="614"/>
      <c r="R780" s="614"/>
      <c r="S780" s="614"/>
      <c r="T780" s="614"/>
      <c r="U780" s="614"/>
      <c r="V780" s="614"/>
      <c r="W780" s="614"/>
      <c r="X780" s="614"/>
      <c r="Y780" s="614"/>
      <c r="Z780" s="614"/>
      <c r="AA780" s="614"/>
      <c r="AB780" s="614"/>
      <c r="AC780" s="614"/>
      <c r="AD780" s="614"/>
      <c r="AE780" s="614"/>
      <c r="AF780" s="614"/>
      <c r="AG780" s="614"/>
      <c r="AH780" s="536"/>
      <c r="AI780" s="543"/>
      <c r="AJ780" s="593"/>
      <c r="AK780" s="593"/>
      <c r="AL780" s="593"/>
      <c r="AM780" s="549"/>
      <c r="AN780" s="534"/>
      <c r="AO780" s="30"/>
      <c r="AP780" s="14"/>
      <c r="AQ780" s="14"/>
      <c r="AR780" s="14"/>
      <c r="AS780" s="14"/>
      <c r="AT780" s="14"/>
      <c r="AU780" s="14"/>
      <c r="AV780" s="14"/>
      <c r="AW780" s="14"/>
      <c r="AX780" s="14"/>
      <c r="AY780" s="14"/>
      <c r="AZ780" s="14"/>
      <c r="BA780" s="14"/>
      <c r="BB780" s="14"/>
      <c r="BC780" s="14"/>
      <c r="BD780" s="32"/>
      <c r="BE780" s="32"/>
      <c r="BF780" s="32"/>
      <c r="BG780" s="32"/>
      <c r="BH780" s="32"/>
      <c r="BI780" s="14"/>
      <c r="BJ780" s="14"/>
      <c r="BK780" s="14"/>
      <c r="BL780" s="14"/>
      <c r="BM780" s="14"/>
      <c r="BN780" s="14"/>
      <c r="BO780" s="14"/>
      <c r="BP780" s="14"/>
      <c r="BQ780" s="14"/>
      <c r="BR780" s="14"/>
      <c r="BS780" s="14"/>
      <c r="BT780" s="14"/>
      <c r="BU780" s="14"/>
      <c r="BV780" s="14"/>
    </row>
    <row r="781" spans="1:74" s="568" customFormat="1">
      <c r="A781" s="549"/>
      <c r="B781" s="614"/>
      <c r="C781" s="936"/>
      <c r="D781" s="614"/>
      <c r="E781" s="614"/>
      <c r="F781" s="614"/>
      <c r="G781" s="614"/>
      <c r="H781" s="614"/>
      <c r="I781" s="614"/>
      <c r="J781" s="614"/>
      <c r="K781" s="614"/>
      <c r="L781" s="614"/>
      <c r="M781" s="614"/>
      <c r="N781" s="614"/>
      <c r="O781" s="614"/>
      <c r="P781" s="614"/>
      <c r="Q781" s="614"/>
      <c r="R781" s="614"/>
      <c r="S781" s="614"/>
      <c r="T781" s="614"/>
      <c r="U781" s="614"/>
      <c r="V781" s="614"/>
      <c r="W781" s="614"/>
      <c r="X781" s="614"/>
      <c r="Y781" s="614"/>
      <c r="Z781" s="614"/>
      <c r="AA781" s="614"/>
      <c r="AB781" s="614"/>
      <c r="AC781" s="614"/>
      <c r="AD781" s="614"/>
      <c r="AE781" s="614"/>
      <c r="AF781" s="614"/>
      <c r="AG781" s="614"/>
      <c r="AH781" s="536"/>
      <c r="AI781" s="543"/>
      <c r="AJ781" s="593"/>
      <c r="AK781" s="593"/>
      <c r="AL781" s="593"/>
      <c r="AM781" s="549"/>
      <c r="AN781" s="680"/>
    </row>
    <row r="782" spans="1:74" s="568" customFormat="1" ht="13.7" customHeight="1">
      <c r="A782" s="549"/>
      <c r="B782" s="614"/>
      <c r="C782" s="936"/>
      <c r="D782" s="659" t="s">
        <v>687</v>
      </c>
      <c r="E782" s="2387" t="s">
        <v>1681</v>
      </c>
      <c r="F782" s="2387"/>
      <c r="G782" s="2387"/>
      <c r="H782" s="2387"/>
      <c r="I782" s="2387"/>
      <c r="J782" s="2387"/>
      <c r="K782" s="2387"/>
      <c r="L782" s="2387"/>
      <c r="M782" s="2387"/>
      <c r="N782" s="2387"/>
      <c r="O782" s="2387"/>
      <c r="P782" s="2387"/>
      <c r="Q782" s="2387"/>
      <c r="R782" s="2387"/>
      <c r="S782" s="2387"/>
      <c r="T782" s="2387"/>
      <c r="U782" s="2387"/>
      <c r="V782" s="2387"/>
      <c r="W782" s="2387"/>
      <c r="X782" s="2387"/>
      <c r="Y782" s="2387"/>
      <c r="Z782" s="2387"/>
      <c r="AA782" s="2387"/>
      <c r="AB782" s="2387"/>
      <c r="AC782" s="2387"/>
      <c r="AD782" s="2387"/>
      <c r="AE782" s="536"/>
      <c r="AF782" s="2388" t="s">
        <v>1400</v>
      </c>
      <c r="AG782" s="2388"/>
      <c r="AH782" s="2388"/>
      <c r="AI782" s="2388"/>
      <c r="AJ782" s="2388"/>
      <c r="AK782" s="2388"/>
      <c r="AL782" s="2388"/>
      <c r="AM782" s="611"/>
      <c r="AN782" s="680"/>
      <c r="AO782" s="549" t="s">
        <v>591</v>
      </c>
      <c r="AP782" s="669">
        <v>0</v>
      </c>
    </row>
    <row r="783" spans="1:74" s="568" customFormat="1" ht="13.7" customHeight="1">
      <c r="A783" s="549"/>
      <c r="B783" s="614"/>
      <c r="C783" s="936"/>
      <c r="D783" s="659"/>
      <c r="E783" s="2387"/>
      <c r="F783" s="2387"/>
      <c r="G783" s="2387"/>
      <c r="H783" s="2387"/>
      <c r="I783" s="2387"/>
      <c r="J783" s="2387"/>
      <c r="K783" s="2387"/>
      <c r="L783" s="2387"/>
      <c r="M783" s="2387"/>
      <c r="N783" s="2387"/>
      <c r="O783" s="2387"/>
      <c r="P783" s="2387"/>
      <c r="Q783" s="2387"/>
      <c r="R783" s="2387"/>
      <c r="S783" s="2387"/>
      <c r="T783" s="2387"/>
      <c r="U783" s="2387"/>
      <c r="V783" s="2387"/>
      <c r="W783" s="2387"/>
      <c r="X783" s="2387"/>
      <c r="Y783" s="2387"/>
      <c r="Z783" s="2387"/>
      <c r="AA783" s="2387"/>
      <c r="AB783" s="2387"/>
      <c r="AC783" s="2387"/>
      <c r="AD783" s="2387"/>
      <c r="AE783" s="536"/>
      <c r="AF783" s="592"/>
      <c r="AG783" s="592"/>
      <c r="AH783" s="592"/>
      <c r="AI783" s="592"/>
      <c r="AJ783" s="592"/>
      <c r="AK783" s="592"/>
      <c r="AL783" s="592"/>
      <c r="AM783" s="611"/>
      <c r="AN783" s="680"/>
      <c r="AO783" s="609" t="s">
        <v>687</v>
      </c>
      <c r="AP783" s="549">
        <v>2</v>
      </c>
    </row>
    <row r="784" spans="1:74" s="568" customFormat="1">
      <c r="A784" s="549"/>
      <c r="B784" s="614"/>
      <c r="C784" s="936"/>
      <c r="D784" s="659"/>
      <c r="E784" s="2387"/>
      <c r="F784" s="2387"/>
      <c r="G784" s="2387"/>
      <c r="H784" s="2387"/>
      <c r="I784" s="2387"/>
      <c r="J784" s="2387"/>
      <c r="K784" s="2387"/>
      <c r="L784" s="2387"/>
      <c r="M784" s="2387"/>
      <c r="N784" s="2387"/>
      <c r="O784" s="2387"/>
      <c r="P784" s="2387"/>
      <c r="Q784" s="2387"/>
      <c r="R784" s="2387"/>
      <c r="S784" s="2387"/>
      <c r="T784" s="2387"/>
      <c r="U784" s="2387"/>
      <c r="V784" s="2387"/>
      <c r="W784" s="2387"/>
      <c r="X784" s="2387"/>
      <c r="Y784" s="2387"/>
      <c r="Z784" s="2387"/>
      <c r="AA784" s="2387"/>
      <c r="AB784" s="2387"/>
      <c r="AC784" s="2387"/>
      <c r="AD784" s="2387"/>
      <c r="AE784" s="536"/>
      <c r="AF784" s="536"/>
      <c r="AG784" s="536"/>
      <c r="AH784" s="536"/>
      <c r="AI784" s="536"/>
      <c r="AJ784" s="536"/>
      <c r="AK784" s="536"/>
      <c r="AL784" s="592"/>
      <c r="AM784" s="611"/>
      <c r="AN784" s="534"/>
      <c r="AO784" s="609" t="s">
        <v>509</v>
      </c>
      <c r="AP784" s="549">
        <v>3</v>
      </c>
      <c r="AQ784" s="14"/>
      <c r="AR784" s="14"/>
      <c r="AS784" s="14"/>
      <c r="AT784" s="14"/>
      <c r="AU784" s="14"/>
      <c r="AV784" s="14"/>
      <c r="AW784" s="14"/>
      <c r="AX784" s="14"/>
      <c r="AY784" s="14"/>
      <c r="AZ784" s="14"/>
      <c r="BA784" s="14"/>
      <c r="BB784" s="14"/>
      <c r="BC784" s="14"/>
      <c r="BD784" s="32"/>
      <c r="BE784" s="32"/>
      <c r="BF784" s="32"/>
      <c r="BG784" s="32"/>
      <c r="BH784" s="32"/>
      <c r="BI784" s="14"/>
      <c r="BJ784" s="14"/>
      <c r="BK784" s="14"/>
      <c r="BL784" s="14"/>
      <c r="BM784" s="14"/>
      <c r="BN784" s="14"/>
      <c r="BO784" s="14"/>
      <c r="BP784" s="14"/>
      <c r="BQ784" s="14"/>
      <c r="BR784" s="14"/>
      <c r="BS784" s="14"/>
      <c r="BT784" s="14"/>
      <c r="BU784" s="14"/>
    </row>
    <row r="785" spans="1:81" s="568" customFormat="1" ht="18.600000000000001" customHeight="1">
      <c r="A785" s="549"/>
      <c r="B785" s="614"/>
      <c r="C785" s="936"/>
      <c r="D785" s="659"/>
      <c r="E785" s="2387"/>
      <c r="F785" s="2387"/>
      <c r="G785" s="2387"/>
      <c r="H785" s="2387"/>
      <c r="I785" s="2387"/>
      <c r="J785" s="2387"/>
      <c r="K785" s="2387"/>
      <c r="L785" s="2387"/>
      <c r="M785" s="2387"/>
      <c r="N785" s="2387"/>
      <c r="O785" s="2387"/>
      <c r="P785" s="2387"/>
      <c r="Q785" s="2387"/>
      <c r="R785" s="2387"/>
      <c r="S785" s="2387"/>
      <c r="T785" s="2387"/>
      <c r="U785" s="2387"/>
      <c r="V785" s="2387"/>
      <c r="W785" s="2387"/>
      <c r="X785" s="2387"/>
      <c r="Y785" s="2387"/>
      <c r="Z785" s="2387"/>
      <c r="AA785" s="2387"/>
      <c r="AB785" s="2387"/>
      <c r="AC785" s="2387"/>
      <c r="AD785" s="2387"/>
      <c r="AE785" s="592"/>
      <c r="AF785" s="592"/>
      <c r="AG785" s="592"/>
      <c r="AH785" s="592"/>
      <c r="AI785" s="592"/>
      <c r="AJ785" s="592"/>
      <c r="AK785" s="592"/>
      <c r="AL785" s="592"/>
      <c r="AM785" s="611"/>
      <c r="AN785" s="534"/>
      <c r="AO785" s="30"/>
      <c r="AP785" s="14"/>
      <c r="AQ785" s="14"/>
      <c r="AR785" s="14"/>
      <c r="AS785" s="14"/>
      <c r="AT785" s="14"/>
      <c r="AU785" s="14"/>
      <c r="AV785" s="14"/>
      <c r="AW785" s="14"/>
      <c r="AX785" s="14"/>
      <c r="AY785" s="14"/>
      <c r="AZ785" s="14"/>
      <c r="BA785" s="14"/>
      <c r="BB785" s="14"/>
      <c r="BC785" s="14"/>
      <c r="BD785" s="32"/>
      <c r="BE785" s="32"/>
      <c r="BF785" s="32"/>
      <c r="BG785" s="32"/>
      <c r="BH785" s="32"/>
      <c r="BI785" s="14"/>
      <c r="BJ785" s="14"/>
      <c r="BK785" s="14"/>
      <c r="BL785" s="14"/>
      <c r="BM785" s="14"/>
      <c r="BN785" s="14"/>
      <c r="BO785" s="14"/>
      <c r="BP785" s="14"/>
      <c r="BQ785" s="14"/>
      <c r="BR785" s="14"/>
      <c r="BS785" s="14"/>
      <c r="BT785" s="14"/>
      <c r="BU785" s="14"/>
    </row>
    <row r="786" spans="1:81" s="549" customFormat="1" ht="12.75" customHeight="1">
      <c r="B786" s="614"/>
      <c r="C786" s="936"/>
      <c r="D786" s="659"/>
      <c r="E786" s="904"/>
      <c r="F786" s="904"/>
      <c r="G786" s="904"/>
      <c r="H786" s="904"/>
      <c r="I786" s="904"/>
      <c r="J786" s="904"/>
      <c r="K786" s="904"/>
      <c r="L786" s="904"/>
      <c r="M786" s="904"/>
      <c r="N786" s="904"/>
      <c r="O786" s="904"/>
      <c r="P786" s="904"/>
      <c r="Q786" s="904"/>
      <c r="R786" s="904"/>
      <c r="S786" s="904"/>
      <c r="T786" s="904"/>
      <c r="U786" s="904"/>
      <c r="V786" s="904"/>
      <c r="W786" s="904"/>
      <c r="X786" s="904"/>
      <c r="Y786" s="904"/>
      <c r="Z786" s="904"/>
      <c r="AA786" s="904"/>
      <c r="AB786" s="904"/>
      <c r="AC786" s="904"/>
      <c r="AD786" s="904"/>
      <c r="AE786" s="592"/>
      <c r="AF786" s="536"/>
      <c r="AG786" s="536"/>
      <c r="AH786" s="536"/>
      <c r="AI786" s="536"/>
      <c r="AJ786" s="536"/>
      <c r="AK786" s="536"/>
      <c r="AL786" s="536"/>
      <c r="AM786" s="611"/>
      <c r="AN786" s="595"/>
    </row>
    <row r="787" spans="1:81" s="549" customFormat="1" ht="12.75" customHeight="1">
      <c r="B787" s="614"/>
      <c r="C787" s="936"/>
      <c r="D787" s="659" t="s">
        <v>509</v>
      </c>
      <c r="E787" s="2528" t="s">
        <v>1686</v>
      </c>
      <c r="F787" s="2528"/>
      <c r="G787" s="2528"/>
      <c r="H787" s="2528"/>
      <c r="I787" s="2528"/>
      <c r="J787" s="2528"/>
      <c r="K787" s="2528"/>
      <c r="L787" s="2528"/>
      <c r="M787" s="2528"/>
      <c r="N787" s="2528"/>
      <c r="O787" s="2528"/>
      <c r="P787" s="2528"/>
      <c r="Q787" s="2528"/>
      <c r="R787" s="2528"/>
      <c r="S787" s="2528"/>
      <c r="T787" s="2528"/>
      <c r="U787" s="2528"/>
      <c r="V787" s="2528"/>
      <c r="W787" s="2528"/>
      <c r="X787" s="2528"/>
      <c r="Y787" s="2528"/>
      <c r="Z787" s="2528"/>
      <c r="AA787" s="2528"/>
      <c r="AB787" s="2528"/>
      <c r="AC787" s="2528"/>
      <c r="AD787" s="2528"/>
      <c r="AE787" s="536"/>
      <c r="AF787" s="2388" t="s">
        <v>1346</v>
      </c>
      <c r="AG787" s="2388"/>
      <c r="AH787" s="2388"/>
      <c r="AI787" s="2388"/>
      <c r="AJ787" s="2388"/>
      <c r="AK787" s="2388"/>
      <c r="AL787" s="2388"/>
      <c r="AM787" s="611"/>
      <c r="AN787" s="595"/>
    </row>
    <row r="788" spans="1:81" s="549" customFormat="1" ht="12.75" customHeight="1">
      <c r="B788" s="614"/>
      <c r="C788" s="936"/>
      <c r="D788" s="659"/>
      <c r="E788" s="2528"/>
      <c r="F788" s="2528"/>
      <c r="G788" s="2528"/>
      <c r="H788" s="2528"/>
      <c r="I788" s="2528"/>
      <c r="J788" s="2528"/>
      <c r="K788" s="2528"/>
      <c r="L788" s="2528"/>
      <c r="M788" s="2528"/>
      <c r="N788" s="2528"/>
      <c r="O788" s="2528"/>
      <c r="P788" s="2528"/>
      <c r="Q788" s="2528"/>
      <c r="R788" s="2528"/>
      <c r="S788" s="2528"/>
      <c r="T788" s="2528"/>
      <c r="U788" s="2528"/>
      <c r="V788" s="2528"/>
      <c r="W788" s="2528"/>
      <c r="X788" s="2528"/>
      <c r="Y788" s="2528"/>
      <c r="Z788" s="2528"/>
      <c r="AA788" s="2528"/>
      <c r="AB788" s="2528"/>
      <c r="AC788" s="2528"/>
      <c r="AD788" s="2528"/>
      <c r="AE788" s="592"/>
      <c r="AF788" s="592"/>
      <c r="AG788" s="592"/>
      <c r="AH788" s="592"/>
      <c r="AI788" s="592"/>
      <c r="AJ788" s="592"/>
      <c r="AK788" s="592"/>
      <c r="AL788" s="592"/>
      <c r="AM788" s="611"/>
      <c r="AN788" s="595"/>
    </row>
    <row r="789" spans="1:81" s="549" customFormat="1" ht="12.75" customHeight="1">
      <c r="B789" s="614"/>
      <c r="C789" s="936"/>
      <c r="D789" s="659"/>
      <c r="E789" s="2528"/>
      <c r="F789" s="2528"/>
      <c r="G789" s="2528"/>
      <c r="H789" s="2528"/>
      <c r="I789" s="2528"/>
      <c r="J789" s="2528"/>
      <c r="K789" s="2528"/>
      <c r="L789" s="2528"/>
      <c r="M789" s="2528"/>
      <c r="N789" s="2528"/>
      <c r="O789" s="2528"/>
      <c r="P789" s="2528"/>
      <c r="Q789" s="2528"/>
      <c r="R789" s="2528"/>
      <c r="S789" s="2528"/>
      <c r="T789" s="2528"/>
      <c r="U789" s="2528"/>
      <c r="V789" s="2528"/>
      <c r="W789" s="2528"/>
      <c r="X789" s="2528"/>
      <c r="Y789" s="2528"/>
      <c r="Z789" s="2528"/>
      <c r="AA789" s="2528"/>
      <c r="AB789" s="2528"/>
      <c r="AC789" s="2528"/>
      <c r="AD789" s="2528"/>
      <c r="AE789" s="592"/>
      <c r="AF789" s="592"/>
      <c r="AG789" s="592"/>
      <c r="AH789" s="592"/>
      <c r="AI789" s="592"/>
      <c r="AJ789" s="592"/>
      <c r="AK789" s="592"/>
      <c r="AL789" s="592"/>
      <c r="AM789" s="611"/>
      <c r="AN789" s="595"/>
    </row>
    <row r="790" spans="1:81" s="549" customFormat="1" ht="12.75" customHeight="1">
      <c r="B790" s="614"/>
      <c r="C790" s="936"/>
      <c r="D790" s="659"/>
      <c r="E790" s="2528"/>
      <c r="F790" s="2528"/>
      <c r="G790" s="2528"/>
      <c r="H790" s="2528"/>
      <c r="I790" s="2528"/>
      <c r="J790" s="2528"/>
      <c r="K790" s="2528"/>
      <c r="L790" s="2528"/>
      <c r="M790" s="2528"/>
      <c r="N790" s="2528"/>
      <c r="O790" s="2528"/>
      <c r="P790" s="2528"/>
      <c r="Q790" s="2528"/>
      <c r="R790" s="2528"/>
      <c r="S790" s="2528"/>
      <c r="T790" s="2528"/>
      <c r="U790" s="2528"/>
      <c r="V790" s="2528"/>
      <c r="W790" s="2528"/>
      <c r="X790" s="2528"/>
      <c r="Y790" s="2528"/>
      <c r="Z790" s="2528"/>
      <c r="AA790" s="2528"/>
      <c r="AB790" s="2528"/>
      <c r="AC790" s="2528"/>
      <c r="AD790" s="2528"/>
      <c r="AE790" s="592"/>
      <c r="AF790" s="592"/>
      <c r="AG790" s="592"/>
      <c r="AH790" s="592"/>
      <c r="AI790" s="592"/>
      <c r="AJ790" s="592"/>
      <c r="AK790" s="592"/>
      <c r="AL790" s="592"/>
      <c r="AM790" s="611"/>
      <c r="AN790" s="595"/>
    </row>
    <row r="791" spans="1:81" s="549" customFormat="1" ht="12.75" customHeight="1">
      <c r="A791" s="568"/>
      <c r="B791" s="536"/>
      <c r="C791" s="536"/>
      <c r="D791" s="536"/>
      <c r="E791" s="536"/>
      <c r="F791" s="536"/>
      <c r="G791" s="536"/>
      <c r="H791" s="536"/>
      <c r="I791" s="536"/>
      <c r="J791" s="536"/>
      <c r="K791" s="536"/>
      <c r="L791" s="536"/>
      <c r="M791" s="536"/>
      <c r="N791" s="536"/>
      <c r="O791" s="536"/>
      <c r="P791" s="536"/>
      <c r="Q791" s="536"/>
      <c r="R791" s="536"/>
      <c r="S791" s="536"/>
      <c r="T791" s="536"/>
      <c r="U791" s="536"/>
      <c r="V791" s="536"/>
      <c r="W791" s="536"/>
      <c r="X791" s="536"/>
      <c r="Y791" s="536"/>
      <c r="Z791" s="536"/>
      <c r="AA791" s="536"/>
      <c r="AB791" s="536"/>
      <c r="AC791" s="536"/>
      <c r="AD791" s="536"/>
      <c r="AE791" s="536"/>
      <c r="AF791" s="536"/>
      <c r="AG791" s="536"/>
      <c r="AH791" s="536"/>
      <c r="AI791" s="536"/>
      <c r="AJ791" s="536"/>
      <c r="AK791" s="536"/>
      <c r="AL791" s="536"/>
      <c r="AM791" s="568"/>
      <c r="AN791" s="595"/>
    </row>
    <row r="792" spans="1:81" s="549" customFormat="1" ht="12.75" customHeight="1">
      <c r="B792" s="614"/>
      <c r="C792" s="936"/>
      <c r="D792" s="536" t="s">
        <v>1392</v>
      </c>
      <c r="E792" s="932"/>
      <c r="F792" s="932"/>
      <c r="G792" s="932"/>
      <c r="H792" s="2389" t="s">
        <v>591</v>
      </c>
      <c r="I792" s="2389"/>
      <c r="J792" s="641"/>
      <c r="K792" s="641"/>
      <c r="L792" s="641"/>
      <c r="M792" s="641"/>
      <c r="N792" s="641"/>
      <c r="O792" s="641"/>
      <c r="P792" s="641"/>
      <c r="Q792" s="641"/>
      <c r="R792" s="641"/>
      <c r="S792" s="641"/>
      <c r="T792" s="641"/>
      <c r="U792" s="641"/>
      <c r="V792" s="641"/>
      <c r="W792" s="641"/>
      <c r="X792" s="641"/>
      <c r="Y792" s="641"/>
      <c r="Z792" s="641"/>
      <c r="AA792" s="641"/>
      <c r="AB792" s="641"/>
      <c r="AC792" s="641"/>
      <c r="AD792" s="641"/>
      <c r="AE792" s="641"/>
      <c r="AF792" s="641"/>
      <c r="AG792" s="614"/>
      <c r="AH792" s="536"/>
      <c r="AI792" s="543"/>
      <c r="AJ792" s="593"/>
      <c r="AK792" s="593"/>
      <c r="AL792" s="593"/>
      <c r="AN792" s="595"/>
    </row>
    <row r="793" spans="1:81" s="549" customFormat="1" ht="12.75" customHeight="1">
      <c r="B793" s="614"/>
      <c r="C793" s="936"/>
      <c r="D793" s="614"/>
      <c r="E793" s="614"/>
      <c r="F793" s="614"/>
      <c r="G793" s="614"/>
      <c r="H793" s="614"/>
      <c r="I793" s="614"/>
      <c r="J793" s="614"/>
      <c r="K793" s="614"/>
      <c r="L793" s="614"/>
      <c r="M793" s="614"/>
      <c r="N793" s="614"/>
      <c r="O793" s="614"/>
      <c r="P793" s="614"/>
      <c r="Q793" s="614"/>
      <c r="R793" s="614"/>
      <c r="S793" s="614"/>
      <c r="T793" s="614"/>
      <c r="U793" s="614"/>
      <c r="V793" s="614"/>
      <c r="W793" s="614"/>
      <c r="X793" s="614"/>
      <c r="Y793" s="614"/>
      <c r="Z793" s="614"/>
      <c r="AA793" s="614"/>
      <c r="AB793" s="614"/>
      <c r="AC793" s="614"/>
      <c r="AD793" s="614"/>
      <c r="AE793" s="614"/>
      <c r="AF793" s="614"/>
      <c r="AG793" s="614"/>
      <c r="AH793" s="536"/>
      <c r="AI793" s="543"/>
      <c r="AJ793" s="593"/>
      <c r="AK793" s="593"/>
      <c r="AL793" s="593"/>
      <c r="AN793" s="595"/>
    </row>
    <row r="794" spans="1:81" s="549" customFormat="1" ht="12.75" customHeight="1">
      <c r="A794" s="604"/>
      <c r="B794" s="661"/>
      <c r="C794" s="951"/>
      <c r="D794" s="661"/>
      <c r="E794" s="661"/>
      <c r="F794" s="661"/>
      <c r="G794" s="661"/>
      <c r="H794" s="661"/>
      <c r="I794" s="661"/>
      <c r="J794" s="661"/>
      <c r="K794" s="661"/>
      <c r="L794" s="661"/>
      <c r="M794" s="661"/>
      <c r="N794" s="661"/>
      <c r="O794" s="661"/>
      <c r="P794" s="661"/>
      <c r="Q794" s="661"/>
      <c r="R794" s="661"/>
      <c r="S794" s="661"/>
      <c r="T794" s="661"/>
      <c r="U794" s="661"/>
      <c r="V794" s="661"/>
      <c r="W794" s="661"/>
      <c r="X794" s="661"/>
      <c r="Y794" s="661"/>
      <c r="Z794" s="661"/>
      <c r="AA794" s="661"/>
      <c r="AB794" s="661"/>
      <c r="AC794" s="661"/>
      <c r="AD794" s="661"/>
      <c r="AE794" s="661"/>
      <c r="AF794" s="661"/>
      <c r="AG794" s="661"/>
      <c r="AH794" s="599"/>
      <c r="AI794" s="563" t="s">
        <v>1440</v>
      </c>
      <c r="AJ794" s="2390">
        <f>VLOOKUP($H$792,$AO$782:$AP$784,2,FALSE)</f>
        <v>0</v>
      </c>
      <c r="AK794" s="2391"/>
      <c r="AL794" s="593"/>
      <c r="AN794" s="595"/>
    </row>
    <row r="795" spans="1:81" s="568" customFormat="1">
      <c r="A795" s="549"/>
      <c r="B795" s="614"/>
      <c r="C795" s="936"/>
      <c r="D795" s="614"/>
      <c r="E795" s="614"/>
      <c r="F795" s="614"/>
      <c r="G795" s="614"/>
      <c r="H795" s="614"/>
      <c r="I795" s="614"/>
      <c r="J795" s="614"/>
      <c r="K795" s="614"/>
      <c r="L795" s="614"/>
      <c r="M795" s="614"/>
      <c r="N795" s="614"/>
      <c r="O795" s="614"/>
      <c r="P795" s="614"/>
      <c r="Q795" s="614"/>
      <c r="R795" s="614"/>
      <c r="S795" s="614"/>
      <c r="T795" s="614"/>
      <c r="U795" s="614"/>
      <c r="V795" s="614"/>
      <c r="W795" s="614"/>
      <c r="X795" s="614"/>
      <c r="Y795" s="614"/>
      <c r="Z795" s="614"/>
      <c r="AA795" s="614"/>
      <c r="AB795" s="614"/>
      <c r="AC795" s="614"/>
      <c r="AD795" s="614"/>
      <c r="AE795" s="614"/>
      <c r="AF795" s="614"/>
      <c r="AG795" s="614"/>
      <c r="AH795" s="536"/>
      <c r="AI795" s="543"/>
      <c r="AJ795" s="593"/>
      <c r="AK795" s="593"/>
      <c r="AL795" s="593"/>
      <c r="AM795" s="549"/>
      <c r="AN795" s="680"/>
      <c r="AS795" s="670"/>
      <c r="AT795" s="670"/>
      <c r="AU795" s="670"/>
      <c r="AV795" s="670"/>
      <c r="AW795" s="670"/>
      <c r="AX795" s="670"/>
      <c r="AY795" s="670"/>
      <c r="AZ795" s="670"/>
      <c r="BA795" s="670"/>
      <c r="BB795" s="670"/>
      <c r="BC795" s="670"/>
      <c r="BD795" s="686"/>
      <c r="BE795" s="686"/>
      <c r="BF795" s="686"/>
      <c r="BG795" s="686"/>
      <c r="BH795" s="686"/>
      <c r="BI795" s="670"/>
      <c r="BJ795" s="670"/>
      <c r="BK795" s="670"/>
      <c r="BL795" s="670"/>
      <c r="BM795" s="670"/>
      <c r="BN795" s="670"/>
      <c r="BO795" s="670"/>
      <c r="BP795" s="670"/>
      <c r="BQ795" s="670"/>
      <c r="BR795" s="670"/>
      <c r="BS795" s="670"/>
      <c r="BT795" s="670"/>
      <c r="BU795" s="670"/>
      <c r="BV795" s="670"/>
      <c r="BW795" s="670"/>
      <c r="BX795" s="670"/>
      <c r="BY795" s="670"/>
      <c r="BZ795" s="670"/>
      <c r="CA795" s="670"/>
      <c r="CB795" s="670"/>
      <c r="CC795" s="670"/>
    </row>
    <row r="796" spans="1:81" s="568" customFormat="1">
      <c r="A796" s="549"/>
      <c r="B796" s="614"/>
      <c r="C796" s="539" t="s">
        <v>1441</v>
      </c>
      <c r="D796" s="614"/>
      <c r="E796" s="614"/>
      <c r="F796" s="614"/>
      <c r="G796" s="614"/>
      <c r="H796" s="614"/>
      <c r="I796" s="614"/>
      <c r="J796" s="614"/>
      <c r="K796" s="614"/>
      <c r="L796" s="614"/>
      <c r="M796" s="614"/>
      <c r="N796" s="614"/>
      <c r="O796" s="614"/>
      <c r="P796" s="614"/>
      <c r="Q796" s="614"/>
      <c r="R796" s="614"/>
      <c r="S796" s="614"/>
      <c r="T796" s="614"/>
      <c r="U796" s="614"/>
      <c r="V796" s="614"/>
      <c r="W796" s="614"/>
      <c r="X796" s="614"/>
      <c r="Y796" s="614"/>
      <c r="Z796" s="614"/>
      <c r="AA796" s="614"/>
      <c r="AB796" s="614"/>
      <c r="AC796" s="614"/>
      <c r="AD796" s="614"/>
      <c r="AE796" s="614"/>
      <c r="AF796" s="614"/>
      <c r="AG796" s="614"/>
      <c r="AH796" s="536"/>
      <c r="AI796" s="543"/>
      <c r="AJ796" s="593"/>
      <c r="AK796" s="593"/>
      <c r="AL796" s="593"/>
      <c r="AM796" s="549"/>
      <c r="AN796" s="680"/>
      <c r="AT796" s="670"/>
      <c r="AU796" s="670"/>
      <c r="AV796" s="670"/>
      <c r="AW796" s="670"/>
      <c r="AX796" s="670"/>
      <c r="AY796" s="670"/>
      <c r="AZ796" s="670"/>
    </row>
    <row r="797" spans="1:81" s="568" customFormat="1">
      <c r="A797" s="549"/>
      <c r="B797" s="614"/>
      <c r="C797" s="936"/>
      <c r="D797" s="614"/>
      <c r="E797" s="614"/>
      <c r="F797" s="614"/>
      <c r="G797" s="614"/>
      <c r="H797" s="614"/>
      <c r="I797" s="614"/>
      <c r="J797" s="614"/>
      <c r="K797" s="614"/>
      <c r="L797" s="614"/>
      <c r="M797" s="614"/>
      <c r="N797" s="614"/>
      <c r="O797" s="614"/>
      <c r="P797" s="614"/>
      <c r="Q797" s="614"/>
      <c r="R797" s="614"/>
      <c r="S797" s="614"/>
      <c r="T797" s="614"/>
      <c r="U797" s="614"/>
      <c r="V797" s="614"/>
      <c r="W797" s="614"/>
      <c r="X797" s="614"/>
      <c r="Y797" s="614"/>
      <c r="Z797" s="614"/>
      <c r="AA797" s="614"/>
      <c r="AB797" s="614"/>
      <c r="AC797" s="614"/>
      <c r="AD797" s="614"/>
      <c r="AE797" s="536"/>
      <c r="AF797" s="536"/>
      <c r="AG797" s="536"/>
      <c r="AH797" s="536"/>
      <c r="AI797" s="536"/>
      <c r="AJ797" s="536"/>
      <c r="AK797" s="536"/>
      <c r="AL797" s="593"/>
      <c r="AM797" s="549"/>
      <c r="AN797" s="680"/>
      <c r="AO797" s="549" t="s">
        <v>591</v>
      </c>
      <c r="AP797" s="676">
        <v>0</v>
      </c>
      <c r="AS797" s="670"/>
      <c r="AT797" s="670"/>
      <c r="AU797" s="670"/>
      <c r="AV797" s="670"/>
      <c r="AW797" s="670"/>
      <c r="AX797" s="670"/>
      <c r="AY797" s="670"/>
      <c r="AZ797" s="670"/>
      <c r="BA797" s="670"/>
      <c r="BB797" s="670"/>
      <c r="BC797" s="670"/>
      <c r="BD797" s="686"/>
      <c r="BE797" s="686"/>
      <c r="BF797" s="686"/>
      <c r="BG797" s="686"/>
      <c r="BH797" s="686"/>
      <c r="BI797" s="670"/>
      <c r="BJ797" s="670"/>
      <c r="BK797" s="670"/>
      <c r="BL797" s="670"/>
      <c r="BM797" s="670"/>
      <c r="BN797" s="670"/>
      <c r="BO797" s="670"/>
      <c r="BP797" s="670"/>
      <c r="BQ797" s="670"/>
      <c r="BR797" s="670"/>
      <c r="BS797" s="670"/>
      <c r="BT797" s="670"/>
      <c r="BU797" s="670"/>
      <c r="BV797" s="670"/>
      <c r="BW797" s="670"/>
      <c r="BX797" s="670"/>
      <c r="BY797" s="670"/>
      <c r="BZ797" s="670"/>
      <c r="CA797" s="670"/>
      <c r="CB797" s="670"/>
      <c r="CC797" s="670"/>
    </row>
    <row r="798" spans="1:81" s="568" customFormat="1" ht="13.7" customHeight="1">
      <c r="A798" s="549"/>
      <c r="B798" s="614"/>
      <c r="C798" s="936"/>
      <c r="D798" s="659" t="s">
        <v>687</v>
      </c>
      <c r="E798" s="2387" t="s">
        <v>2633</v>
      </c>
      <c r="F798" s="2387"/>
      <c r="G798" s="2387"/>
      <c r="H798" s="2387"/>
      <c r="I798" s="2387"/>
      <c r="J798" s="2387"/>
      <c r="K798" s="2387"/>
      <c r="L798" s="2387"/>
      <c r="M798" s="2387"/>
      <c r="N798" s="2387"/>
      <c r="O798" s="2387"/>
      <c r="P798" s="2387"/>
      <c r="Q798" s="2387"/>
      <c r="R798" s="2387"/>
      <c r="S798" s="2387"/>
      <c r="T798" s="2387"/>
      <c r="U798" s="2387"/>
      <c r="V798" s="2387"/>
      <c r="W798" s="2387"/>
      <c r="X798" s="2387"/>
      <c r="Y798" s="2387"/>
      <c r="Z798" s="2387"/>
      <c r="AA798" s="2387"/>
      <c r="AB798" s="2387"/>
      <c r="AC798" s="2387"/>
      <c r="AD798" s="2387"/>
      <c r="AE798" s="536"/>
      <c r="AF798" s="2388" t="s">
        <v>1346</v>
      </c>
      <c r="AG798" s="2388"/>
      <c r="AH798" s="2388"/>
      <c r="AI798" s="2388"/>
      <c r="AJ798" s="2388"/>
      <c r="AK798" s="2388"/>
      <c r="AL798" s="2388"/>
      <c r="AM798" s="611"/>
      <c r="AN798" s="680"/>
      <c r="AO798" s="609" t="s">
        <v>545</v>
      </c>
      <c r="AP798" s="549">
        <v>3</v>
      </c>
      <c r="AT798" s="670"/>
      <c r="AU798" s="670"/>
      <c r="AV798" s="670"/>
      <c r="AW798" s="670"/>
      <c r="AX798" s="670"/>
      <c r="AY798" s="670"/>
      <c r="AZ798" s="670"/>
    </row>
    <row r="799" spans="1:81" s="568" customFormat="1" ht="13.7" customHeight="1">
      <c r="A799" s="549"/>
      <c r="B799" s="614"/>
      <c r="C799" s="936"/>
      <c r="D799" s="659"/>
      <c r="E799" s="2387"/>
      <c r="F799" s="2387"/>
      <c r="G799" s="2387"/>
      <c r="H799" s="2387"/>
      <c r="I799" s="2387"/>
      <c r="J799" s="2387"/>
      <c r="K799" s="2387"/>
      <c r="L799" s="2387"/>
      <c r="M799" s="2387"/>
      <c r="N799" s="2387"/>
      <c r="O799" s="2387"/>
      <c r="P799" s="2387"/>
      <c r="Q799" s="2387"/>
      <c r="R799" s="2387"/>
      <c r="S799" s="2387"/>
      <c r="T799" s="2387"/>
      <c r="U799" s="2387"/>
      <c r="V799" s="2387"/>
      <c r="W799" s="2387"/>
      <c r="X799" s="2387"/>
      <c r="Y799" s="2387"/>
      <c r="Z799" s="2387"/>
      <c r="AA799" s="2387"/>
      <c r="AB799" s="2387"/>
      <c r="AC799" s="2387"/>
      <c r="AD799" s="2387"/>
      <c r="AE799" s="536"/>
      <c r="AF799" s="592"/>
      <c r="AG799" s="592"/>
      <c r="AH799" s="592"/>
      <c r="AI799" s="592"/>
      <c r="AJ799" s="592"/>
      <c r="AK799" s="592"/>
      <c r="AL799" s="592"/>
      <c r="AM799" s="611"/>
      <c r="AN799" s="680"/>
      <c r="AO799" s="609"/>
      <c r="AP799" s="549"/>
      <c r="AT799" s="670"/>
      <c r="AU799" s="670"/>
      <c r="AV799" s="670"/>
      <c r="AW799" s="670"/>
      <c r="AX799" s="670"/>
      <c r="AY799" s="670"/>
      <c r="AZ799" s="670"/>
    </row>
    <row r="800" spans="1:81" s="568" customFormat="1">
      <c r="A800" s="549"/>
      <c r="B800" s="614"/>
      <c r="C800" s="936"/>
      <c r="D800" s="659"/>
      <c r="E800" s="2387"/>
      <c r="F800" s="2387"/>
      <c r="G800" s="2387"/>
      <c r="H800" s="2387"/>
      <c r="I800" s="2387"/>
      <c r="J800" s="2387"/>
      <c r="K800" s="2387"/>
      <c r="L800" s="2387"/>
      <c r="M800" s="2387"/>
      <c r="N800" s="2387"/>
      <c r="O800" s="2387"/>
      <c r="P800" s="2387"/>
      <c r="Q800" s="2387"/>
      <c r="R800" s="2387"/>
      <c r="S800" s="2387"/>
      <c r="T800" s="2387"/>
      <c r="U800" s="2387"/>
      <c r="V800" s="2387"/>
      <c r="W800" s="2387"/>
      <c r="X800" s="2387"/>
      <c r="Y800" s="2387"/>
      <c r="Z800" s="2387"/>
      <c r="AA800" s="2387"/>
      <c r="AB800" s="2387"/>
      <c r="AC800" s="2387"/>
      <c r="AD800" s="2387"/>
      <c r="AE800" s="592"/>
      <c r="AF800" s="592"/>
      <c r="AG800" s="592"/>
      <c r="AH800" s="592"/>
      <c r="AI800" s="592"/>
      <c r="AJ800" s="592"/>
      <c r="AK800" s="592"/>
      <c r="AL800" s="592"/>
      <c r="AM800" s="611"/>
      <c r="AN800" s="680"/>
      <c r="AO800" s="609"/>
      <c r="AP800" s="549"/>
      <c r="AT800" s="670"/>
      <c r="AU800" s="670"/>
      <c r="AV800" s="670"/>
      <c r="AW800" s="670"/>
      <c r="AX800" s="670"/>
      <c r="AY800" s="670"/>
      <c r="AZ800" s="670"/>
    </row>
    <row r="801" spans="1:81" s="568" customFormat="1">
      <c r="A801" s="549"/>
      <c r="B801" s="614"/>
      <c r="C801" s="936"/>
      <c r="D801" s="659"/>
      <c r="E801" s="2387"/>
      <c r="F801" s="2387"/>
      <c r="G801" s="2387"/>
      <c r="H801" s="2387"/>
      <c r="I801" s="2387"/>
      <c r="J801" s="2387"/>
      <c r="K801" s="2387"/>
      <c r="L801" s="2387"/>
      <c r="M801" s="2387"/>
      <c r="N801" s="2387"/>
      <c r="O801" s="2387"/>
      <c r="P801" s="2387"/>
      <c r="Q801" s="2387"/>
      <c r="R801" s="2387"/>
      <c r="S801" s="2387"/>
      <c r="T801" s="2387"/>
      <c r="U801" s="2387"/>
      <c r="V801" s="2387"/>
      <c r="W801" s="2387"/>
      <c r="X801" s="2387"/>
      <c r="Y801" s="2387"/>
      <c r="Z801" s="2387"/>
      <c r="AA801" s="2387"/>
      <c r="AB801" s="2387"/>
      <c r="AC801" s="2387"/>
      <c r="AD801" s="2387"/>
      <c r="AE801" s="592"/>
      <c r="AF801" s="592"/>
      <c r="AG801" s="592"/>
      <c r="AH801" s="592"/>
      <c r="AI801" s="592"/>
      <c r="AJ801" s="592"/>
      <c r="AK801" s="592"/>
      <c r="AL801" s="592"/>
      <c r="AM801" s="611"/>
      <c r="AN801" s="680"/>
      <c r="AO801" s="687"/>
      <c r="AT801" s="670"/>
      <c r="AU801" s="670"/>
      <c r="AV801" s="670"/>
      <c r="AW801" s="670"/>
      <c r="AX801" s="670"/>
      <c r="AY801" s="670"/>
      <c r="AZ801" s="670"/>
    </row>
    <row r="802" spans="1:81" s="568" customFormat="1">
      <c r="A802" s="549"/>
      <c r="B802" s="614"/>
      <c r="C802" s="936"/>
      <c r="D802" s="659"/>
      <c r="E802" s="641"/>
      <c r="F802" s="641"/>
      <c r="G802" s="641"/>
      <c r="H802" s="641"/>
      <c r="I802" s="641"/>
      <c r="J802" s="641"/>
      <c r="K802" s="641"/>
      <c r="L802" s="641"/>
      <c r="M802" s="641"/>
      <c r="N802" s="641"/>
      <c r="O802" s="641"/>
      <c r="P802" s="641"/>
      <c r="Q802" s="641"/>
      <c r="R802" s="641"/>
      <c r="S802" s="641"/>
      <c r="T802" s="641"/>
      <c r="U802" s="641"/>
      <c r="V802" s="641"/>
      <c r="W802" s="641"/>
      <c r="X802" s="641"/>
      <c r="Y802" s="641"/>
      <c r="Z802" s="641"/>
      <c r="AA802" s="641"/>
      <c r="AB802" s="641"/>
      <c r="AC802" s="641"/>
      <c r="AD802" s="641"/>
      <c r="AE802" s="592"/>
      <c r="AF802" s="592"/>
      <c r="AG802" s="592"/>
      <c r="AH802" s="592"/>
      <c r="AI802" s="592"/>
      <c r="AJ802" s="592"/>
      <c r="AK802" s="592"/>
      <c r="AL802" s="592"/>
      <c r="AM802" s="611"/>
      <c r="AN802" s="680"/>
      <c r="AO802" s="687"/>
      <c r="AT802" s="670"/>
      <c r="AU802" s="670"/>
      <c r="AV802" s="670"/>
      <c r="AW802" s="670"/>
      <c r="AX802" s="670"/>
      <c r="AY802" s="670"/>
      <c r="AZ802" s="670"/>
    </row>
    <row r="803" spans="1:81" s="568" customFormat="1">
      <c r="A803" s="549"/>
      <c r="B803" s="614"/>
      <c r="C803" s="936"/>
      <c r="D803" s="536" t="s">
        <v>1392</v>
      </c>
      <c r="E803" s="932"/>
      <c r="F803" s="932"/>
      <c r="G803" s="932"/>
      <c r="H803" s="2389" t="s">
        <v>591</v>
      </c>
      <c r="I803" s="2389"/>
      <c r="J803" s="614"/>
      <c r="K803" s="614"/>
      <c r="L803" s="614"/>
      <c r="M803" s="614"/>
      <c r="N803" s="614"/>
      <c r="O803" s="614"/>
      <c r="P803" s="614"/>
      <c r="Q803" s="614"/>
      <c r="R803" s="614"/>
      <c r="S803" s="614"/>
      <c r="T803" s="614"/>
      <c r="U803" s="614"/>
      <c r="V803" s="614"/>
      <c r="W803" s="614"/>
      <c r="X803" s="614"/>
      <c r="Y803" s="614"/>
      <c r="Z803" s="614"/>
      <c r="AA803" s="614"/>
      <c r="AB803" s="614"/>
      <c r="AC803" s="614"/>
      <c r="AD803" s="614"/>
      <c r="AE803" s="614"/>
      <c r="AF803" s="614"/>
      <c r="AG803" s="614"/>
      <c r="AH803" s="536"/>
      <c r="AI803" s="543"/>
      <c r="AJ803" s="593"/>
      <c r="AK803" s="593"/>
      <c r="AL803" s="593"/>
      <c r="AM803" s="549"/>
      <c r="AN803" s="680"/>
      <c r="AS803" s="670"/>
      <c r="AT803" s="670"/>
      <c r="AU803" s="670"/>
      <c r="AV803" s="670"/>
      <c r="AW803" s="670"/>
      <c r="AX803" s="670"/>
      <c r="AZ803" s="670"/>
      <c r="BA803" s="670"/>
      <c r="BB803" s="670"/>
      <c r="BC803" s="670"/>
      <c r="BD803" s="686"/>
      <c r="BE803" s="686"/>
      <c r="BF803" s="686"/>
      <c r="BG803" s="686"/>
      <c r="BH803" s="686"/>
      <c r="BI803" s="670"/>
      <c r="BJ803" s="670"/>
      <c r="BK803" s="670"/>
      <c r="BL803" s="670"/>
      <c r="BM803" s="670"/>
      <c r="BN803" s="670"/>
      <c r="BO803" s="670"/>
      <c r="BP803" s="670"/>
      <c r="BQ803" s="670"/>
      <c r="BR803" s="670"/>
      <c r="BS803" s="670"/>
      <c r="BT803" s="670"/>
      <c r="BU803" s="670"/>
      <c r="BV803" s="670"/>
      <c r="BW803" s="670"/>
      <c r="BX803" s="670"/>
      <c r="BY803" s="670"/>
      <c r="BZ803" s="670"/>
      <c r="CA803" s="670"/>
      <c r="CB803" s="670"/>
      <c r="CC803" s="670"/>
    </row>
    <row r="804" spans="1:81" s="568" customFormat="1">
      <c r="A804" s="549"/>
      <c r="B804" s="614"/>
      <c r="C804" s="684"/>
      <c r="D804" s="550"/>
      <c r="E804" s="550"/>
      <c r="F804" s="550"/>
      <c r="G804" s="550"/>
      <c r="H804" s="550"/>
      <c r="I804" s="550"/>
      <c r="J804" s="550"/>
      <c r="K804" s="550"/>
      <c r="L804" s="550"/>
      <c r="M804" s="550"/>
      <c r="N804" s="550"/>
      <c r="O804" s="550"/>
      <c r="P804" s="550"/>
      <c r="Q804" s="550"/>
      <c r="R804" s="550"/>
      <c r="S804" s="550"/>
      <c r="T804" s="550"/>
      <c r="U804" s="550"/>
      <c r="V804" s="550"/>
      <c r="W804" s="550"/>
      <c r="X804" s="550"/>
      <c r="Y804" s="550"/>
      <c r="Z804" s="550"/>
      <c r="AA804" s="550"/>
      <c r="AB804" s="550"/>
      <c r="AC804" s="550"/>
      <c r="AD804" s="614"/>
      <c r="AE804" s="550"/>
      <c r="AF804" s="550"/>
      <c r="AG804" s="550"/>
      <c r="AH804" s="550"/>
      <c r="AI804" s="549"/>
      <c r="AJ804" s="549"/>
      <c r="AK804" s="549"/>
      <c r="AL804" s="549"/>
      <c r="AM804" s="549"/>
      <c r="AN804" s="680"/>
      <c r="AT804" s="670"/>
      <c r="AU804" s="670"/>
      <c r="AV804" s="670"/>
      <c r="AW804" s="670"/>
      <c r="AX804" s="670"/>
      <c r="AY804" s="670"/>
      <c r="AZ804" s="670"/>
    </row>
    <row r="805" spans="1:81" s="568" customFormat="1">
      <c r="A805" s="604"/>
      <c r="B805" s="661"/>
      <c r="C805" s="685"/>
      <c r="D805" s="660"/>
      <c r="E805" s="660"/>
      <c r="F805" s="660"/>
      <c r="G805" s="660"/>
      <c r="H805" s="660"/>
      <c r="I805" s="660"/>
      <c r="J805" s="660"/>
      <c r="K805" s="660"/>
      <c r="L805" s="660"/>
      <c r="M805" s="660"/>
      <c r="N805" s="660"/>
      <c r="O805" s="660"/>
      <c r="P805" s="660"/>
      <c r="Q805" s="660"/>
      <c r="R805" s="660"/>
      <c r="S805" s="660"/>
      <c r="T805" s="660"/>
      <c r="U805" s="660"/>
      <c r="V805" s="660"/>
      <c r="W805" s="660"/>
      <c r="X805" s="660"/>
      <c r="Y805" s="660"/>
      <c r="Z805" s="660"/>
      <c r="AA805" s="660"/>
      <c r="AB805" s="660"/>
      <c r="AC805" s="661"/>
      <c r="AD805" s="660"/>
      <c r="AE805" s="660"/>
      <c r="AF805" s="660"/>
      <c r="AG805" s="660"/>
      <c r="AH805" s="562"/>
      <c r="AI805" s="563" t="s">
        <v>1442</v>
      </c>
      <c r="AJ805" s="2390">
        <f>VLOOKUP($H$803,$AO$797:$AP$798,2,FALSE)</f>
        <v>0</v>
      </c>
      <c r="AK805" s="2391"/>
      <c r="AL805" s="593"/>
      <c r="AM805" s="549"/>
      <c r="AN805" s="680"/>
      <c r="AS805" s="670"/>
      <c r="AT805" s="670"/>
      <c r="AU805" s="670"/>
      <c r="AV805" s="670"/>
      <c r="AW805" s="670"/>
      <c r="AX805" s="670"/>
      <c r="AY805" s="670"/>
      <c r="AZ805" s="670"/>
      <c r="BA805" s="670"/>
      <c r="BB805" s="670"/>
      <c r="BC805" s="670"/>
      <c r="BD805" s="686"/>
      <c r="BE805" s="686"/>
      <c r="BF805" s="686"/>
      <c r="BG805" s="686"/>
      <c r="BH805" s="686"/>
      <c r="BI805" s="670"/>
      <c r="BJ805" s="670"/>
      <c r="BK805" s="670"/>
      <c r="BL805" s="670"/>
      <c r="BM805" s="670"/>
      <c r="BN805" s="670"/>
      <c r="BO805" s="670"/>
      <c r="BP805" s="670"/>
      <c r="BQ805" s="670"/>
      <c r="BR805" s="670"/>
      <c r="BS805" s="670"/>
      <c r="BT805" s="670"/>
      <c r="BU805" s="670"/>
      <c r="BV805" s="670"/>
      <c r="BW805" s="670"/>
      <c r="BX805" s="670"/>
      <c r="BY805" s="670"/>
      <c r="BZ805" s="670"/>
      <c r="CA805" s="670"/>
      <c r="CB805" s="670"/>
      <c r="CC805" s="670"/>
    </row>
    <row r="806" spans="1:81" s="549" customFormat="1" ht="12.75" customHeight="1">
      <c r="B806" s="614"/>
      <c r="C806" s="684"/>
      <c r="D806" s="550"/>
      <c r="E806" s="550"/>
      <c r="F806" s="550"/>
      <c r="G806" s="550"/>
      <c r="H806" s="550"/>
      <c r="I806" s="550"/>
      <c r="J806" s="550"/>
      <c r="K806" s="550"/>
      <c r="L806" s="550"/>
      <c r="M806" s="550"/>
      <c r="N806" s="550"/>
      <c r="O806" s="550"/>
      <c r="P806" s="550"/>
      <c r="Q806" s="550"/>
      <c r="R806" s="550"/>
      <c r="S806" s="550"/>
      <c r="T806" s="550"/>
      <c r="U806" s="550"/>
      <c r="V806" s="550"/>
      <c r="W806" s="550"/>
      <c r="X806" s="550"/>
      <c r="Y806" s="550"/>
      <c r="Z806" s="550"/>
      <c r="AA806" s="550"/>
      <c r="AB806" s="550"/>
      <c r="AC806" s="550"/>
      <c r="AD806" s="614"/>
      <c r="AE806" s="550"/>
      <c r="AF806" s="550"/>
      <c r="AG806" s="550"/>
      <c r="AH806" s="550"/>
      <c r="AN806" s="595"/>
    </row>
    <row r="807" spans="1:81" s="549" customFormat="1" ht="12.75" customHeight="1">
      <c r="B807" s="614"/>
      <c r="C807" s="539" t="s">
        <v>2594</v>
      </c>
      <c r="D807" s="550"/>
      <c r="E807" s="550"/>
      <c r="F807" s="550"/>
      <c r="G807" s="550"/>
      <c r="H807" s="550"/>
      <c r="I807" s="550"/>
      <c r="J807" s="550"/>
      <c r="K807" s="550"/>
      <c r="L807" s="550"/>
      <c r="M807" s="550"/>
      <c r="N807" s="550"/>
      <c r="O807" s="550"/>
      <c r="P807" s="550"/>
      <c r="Q807" s="550"/>
      <c r="R807" s="550"/>
      <c r="S807" s="550"/>
      <c r="T807" s="550"/>
      <c r="U807" s="550"/>
      <c r="V807" s="550"/>
      <c r="W807" s="550"/>
      <c r="X807" s="550"/>
      <c r="Y807" s="550"/>
      <c r="Z807" s="550"/>
      <c r="AA807" s="550"/>
      <c r="AB807" s="550"/>
      <c r="AC807" s="550"/>
      <c r="AD807" s="614"/>
      <c r="AE807" s="550"/>
      <c r="AF807" s="550"/>
      <c r="AG807" s="550"/>
      <c r="AH807" s="550"/>
      <c r="AN807" s="595"/>
    </row>
    <row r="808" spans="1:81" s="549" customFormat="1" ht="12.75" customHeight="1">
      <c r="B808" s="614"/>
      <c r="C808" s="684"/>
      <c r="D808" s="550"/>
      <c r="E808" s="550"/>
      <c r="F808" s="550"/>
      <c r="G808" s="550"/>
      <c r="H808" s="550"/>
      <c r="I808" s="550"/>
      <c r="J808" s="550"/>
      <c r="K808" s="550"/>
      <c r="L808" s="550"/>
      <c r="M808" s="550"/>
      <c r="N808" s="550"/>
      <c r="O808" s="550"/>
      <c r="P808" s="550"/>
      <c r="Q808" s="550"/>
      <c r="R808" s="550"/>
      <c r="S808" s="550"/>
      <c r="T808" s="550"/>
      <c r="U808" s="550"/>
      <c r="V808" s="550"/>
      <c r="W808" s="550"/>
      <c r="X808" s="550"/>
      <c r="Y808" s="550"/>
      <c r="Z808" s="550"/>
      <c r="AA808" s="550"/>
      <c r="AB808" s="550"/>
      <c r="AC808" s="550"/>
      <c r="AD808" s="614"/>
      <c r="AE808" s="550"/>
      <c r="AF808" s="550"/>
      <c r="AG808" s="550"/>
      <c r="AH808" s="550"/>
      <c r="AN808" s="595"/>
    </row>
    <row r="809" spans="1:81" s="549" customFormat="1" ht="12.75" customHeight="1">
      <c r="B809" s="614"/>
      <c r="C809" s="684"/>
      <c r="D809" s="659" t="s">
        <v>687</v>
      </c>
      <c r="E809" s="2387" t="s">
        <v>2595</v>
      </c>
      <c r="F809" s="2387"/>
      <c r="G809" s="2387"/>
      <c r="H809" s="2387"/>
      <c r="I809" s="2387"/>
      <c r="J809" s="2387"/>
      <c r="K809" s="2387"/>
      <c r="L809" s="2387"/>
      <c r="M809" s="2387"/>
      <c r="N809" s="2387"/>
      <c r="O809" s="2387"/>
      <c r="P809" s="2387"/>
      <c r="Q809" s="2387"/>
      <c r="R809" s="2387"/>
      <c r="S809" s="2387"/>
      <c r="T809" s="2387"/>
      <c r="U809" s="2387"/>
      <c r="V809" s="2387"/>
      <c r="W809" s="2387"/>
      <c r="X809" s="2387"/>
      <c r="Y809" s="2387"/>
      <c r="Z809" s="2387"/>
      <c r="AA809" s="2387"/>
      <c r="AB809" s="2387"/>
      <c r="AC809" s="2387"/>
      <c r="AD809" s="2387"/>
      <c r="AE809" s="550"/>
      <c r="AF809" s="2388" t="s">
        <v>1371</v>
      </c>
      <c r="AG809" s="2388"/>
      <c r="AH809" s="2388"/>
      <c r="AI809" s="2388"/>
      <c r="AJ809" s="2388"/>
      <c r="AK809" s="2388"/>
      <c r="AL809" s="2388"/>
      <c r="AN809" s="595"/>
    </row>
    <row r="810" spans="1:81" s="549" customFormat="1" ht="12.75" customHeight="1">
      <c r="B810" s="614"/>
      <c r="C810" s="684"/>
      <c r="D810" s="659"/>
      <c r="E810" s="2387"/>
      <c r="F810" s="2387"/>
      <c r="G810" s="2387"/>
      <c r="H810" s="2387"/>
      <c r="I810" s="2387"/>
      <c r="J810" s="2387"/>
      <c r="K810" s="2387"/>
      <c r="L810" s="2387"/>
      <c r="M810" s="2387"/>
      <c r="N810" s="2387"/>
      <c r="O810" s="2387"/>
      <c r="P810" s="2387"/>
      <c r="Q810" s="2387"/>
      <c r="R810" s="2387"/>
      <c r="S810" s="2387"/>
      <c r="T810" s="2387"/>
      <c r="U810" s="2387"/>
      <c r="V810" s="2387"/>
      <c r="W810" s="2387"/>
      <c r="X810" s="2387"/>
      <c r="Y810" s="2387"/>
      <c r="Z810" s="2387"/>
      <c r="AA810" s="2387"/>
      <c r="AB810" s="2387"/>
      <c r="AC810" s="2387"/>
      <c r="AD810" s="2387"/>
      <c r="AE810" s="550"/>
      <c r="AF810" s="550"/>
      <c r="AG810" s="550"/>
      <c r="AH810" s="550"/>
      <c r="AN810" s="595"/>
    </row>
    <row r="811" spans="1:81" s="549" customFormat="1" ht="12.75" customHeight="1">
      <c r="B811" s="614"/>
      <c r="C811" s="684"/>
      <c r="D811" s="550"/>
      <c r="E811" s="550"/>
      <c r="F811" s="550"/>
      <c r="G811" s="550"/>
      <c r="H811" s="550"/>
      <c r="I811" s="550"/>
      <c r="J811" s="550"/>
      <c r="K811" s="550"/>
      <c r="L811" s="550"/>
      <c r="M811" s="550"/>
      <c r="N811" s="550"/>
      <c r="O811" s="550"/>
      <c r="P811" s="550"/>
      <c r="Q811" s="550"/>
      <c r="R811" s="550"/>
      <c r="S811" s="550"/>
      <c r="T811" s="550"/>
      <c r="U811" s="550"/>
      <c r="V811" s="550"/>
      <c r="W811" s="550"/>
      <c r="X811" s="550"/>
      <c r="Y811" s="550"/>
      <c r="Z811" s="550"/>
      <c r="AA811" s="550"/>
      <c r="AB811" s="550"/>
      <c r="AC811" s="550"/>
      <c r="AD811" s="614"/>
      <c r="AE811" s="550"/>
      <c r="AF811" s="550"/>
      <c r="AG811" s="550"/>
      <c r="AH811" s="550"/>
      <c r="AN811" s="595"/>
    </row>
    <row r="812" spans="1:81" s="568" customFormat="1">
      <c r="A812" s="549"/>
      <c r="B812" s="614"/>
      <c r="C812" s="936"/>
      <c r="D812" s="536" t="s">
        <v>1392</v>
      </c>
      <c r="E812" s="932"/>
      <c r="F812" s="932"/>
      <c r="G812" s="932"/>
      <c r="H812" s="2389" t="s">
        <v>591</v>
      </c>
      <c r="I812" s="2389"/>
      <c r="J812" s="614"/>
      <c r="K812" s="614"/>
      <c r="L812" s="614"/>
      <c r="M812" s="614"/>
      <c r="N812" s="614"/>
      <c r="O812" s="614"/>
      <c r="P812" s="614"/>
      <c r="Q812" s="614"/>
      <c r="R812" s="614"/>
      <c r="S812" s="614"/>
      <c r="T812" s="614"/>
      <c r="U812" s="614"/>
      <c r="V812" s="614"/>
      <c r="W812" s="614"/>
      <c r="X812" s="614"/>
      <c r="Y812" s="614"/>
      <c r="Z812" s="614"/>
      <c r="AA812" s="614"/>
      <c r="AB812" s="614"/>
      <c r="AC812" s="614"/>
      <c r="AD812" s="614"/>
      <c r="AE812" s="614"/>
      <c r="AF812" s="614"/>
      <c r="AG812" s="614"/>
      <c r="AH812" s="536"/>
      <c r="AI812" s="543"/>
      <c r="AJ812" s="593"/>
      <c r="AK812" s="593"/>
      <c r="AL812" s="593"/>
      <c r="AM812" s="549"/>
      <c r="AN812" s="680"/>
      <c r="AS812" s="670"/>
      <c r="AT812" s="670"/>
      <c r="AU812" s="670"/>
      <c r="AV812" s="670"/>
      <c r="AW812" s="670"/>
      <c r="AX812" s="670"/>
      <c r="AZ812" s="670"/>
      <c r="BA812" s="670"/>
      <c r="BB812" s="670"/>
      <c r="BC812" s="670"/>
      <c r="BD812" s="686"/>
      <c r="BE812" s="686"/>
      <c r="BF812" s="686"/>
      <c r="BG812" s="686"/>
      <c r="BH812" s="686"/>
      <c r="BI812" s="670"/>
      <c r="BJ812" s="670"/>
      <c r="BK812" s="670"/>
      <c r="BL812" s="670"/>
      <c r="BM812" s="670"/>
      <c r="BN812" s="670"/>
      <c r="BO812" s="670"/>
      <c r="BP812" s="670"/>
      <c r="BQ812" s="670"/>
      <c r="BR812" s="670"/>
      <c r="BS812" s="670"/>
      <c r="BT812" s="670"/>
      <c r="BU812" s="670"/>
      <c r="BV812" s="670"/>
      <c r="BW812" s="670"/>
      <c r="BX812" s="670"/>
      <c r="BY812" s="670"/>
      <c r="BZ812" s="670"/>
      <c r="CA812" s="670"/>
      <c r="CB812" s="670"/>
      <c r="CC812" s="670"/>
    </row>
    <row r="813" spans="1:81" s="568" customFormat="1">
      <c r="A813" s="549"/>
      <c r="B813" s="614"/>
      <c r="C813" s="684"/>
      <c r="D813" s="550"/>
      <c r="E813" s="550"/>
      <c r="F813" s="550"/>
      <c r="G813" s="550"/>
      <c r="H813" s="550"/>
      <c r="I813" s="550"/>
      <c r="J813" s="550"/>
      <c r="K813" s="550"/>
      <c r="L813" s="550"/>
      <c r="M813" s="550"/>
      <c r="N813" s="550"/>
      <c r="O813" s="550"/>
      <c r="P813" s="550"/>
      <c r="Q813" s="550"/>
      <c r="R813" s="550"/>
      <c r="S813" s="550"/>
      <c r="T813" s="550"/>
      <c r="U813" s="550"/>
      <c r="V813" s="550"/>
      <c r="W813" s="550"/>
      <c r="X813" s="550"/>
      <c r="Y813" s="550"/>
      <c r="Z813" s="550"/>
      <c r="AA813" s="550"/>
      <c r="AB813" s="550"/>
      <c r="AC813" s="550"/>
      <c r="AD813" s="614"/>
      <c r="AE813" s="550"/>
      <c r="AF813" s="550"/>
      <c r="AG813" s="550"/>
      <c r="AH813" s="550"/>
      <c r="AI813" s="549"/>
      <c r="AJ813" s="549"/>
      <c r="AK813" s="549"/>
      <c r="AL813" s="549"/>
      <c r="AM813" s="549"/>
      <c r="AN813" s="680"/>
      <c r="AT813" s="670"/>
      <c r="AU813" s="670"/>
      <c r="AV813" s="670"/>
      <c r="AW813" s="670"/>
      <c r="AX813" s="670"/>
      <c r="AY813" s="670"/>
      <c r="AZ813" s="670"/>
    </row>
    <row r="814" spans="1:81" s="568" customFormat="1">
      <c r="A814" s="604"/>
      <c r="B814" s="661"/>
      <c r="C814" s="685"/>
      <c r="D814" s="660"/>
      <c r="E814" s="660"/>
      <c r="F814" s="660"/>
      <c r="G814" s="660"/>
      <c r="H814" s="660"/>
      <c r="I814" s="660"/>
      <c r="J814" s="660"/>
      <c r="K814" s="660"/>
      <c r="L814" s="660"/>
      <c r="M814" s="660"/>
      <c r="N814" s="660"/>
      <c r="O814" s="660"/>
      <c r="P814" s="660"/>
      <c r="Q814" s="660"/>
      <c r="R814" s="660"/>
      <c r="S814" s="660"/>
      <c r="T814" s="660"/>
      <c r="U814" s="660"/>
      <c r="V814" s="660"/>
      <c r="W814" s="660"/>
      <c r="X814" s="660"/>
      <c r="Y814" s="660"/>
      <c r="Z814" s="660"/>
      <c r="AA814" s="660"/>
      <c r="AB814" s="660"/>
      <c r="AC814" s="661"/>
      <c r="AD814" s="660"/>
      <c r="AE814" s="660"/>
      <c r="AF814" s="660"/>
      <c r="AG814" s="660"/>
      <c r="AH814" s="562"/>
      <c r="AI814" s="563" t="s">
        <v>2596</v>
      </c>
      <c r="AJ814" s="2390">
        <f>IF(H812="Yes",5,0)</f>
        <v>0</v>
      </c>
      <c r="AK814" s="2391"/>
      <c r="AL814" s="593"/>
      <c r="AM814" s="549"/>
      <c r="AN814" s="680"/>
      <c r="AS814" s="670"/>
      <c r="AT814" s="670"/>
      <c r="AU814" s="670"/>
      <c r="AV814" s="670"/>
      <c r="AW814" s="670"/>
      <c r="AX814" s="670"/>
      <c r="AY814" s="670"/>
      <c r="AZ814" s="670"/>
      <c r="BA814" s="670"/>
      <c r="BB814" s="670"/>
      <c r="BC814" s="670"/>
      <c r="BD814" s="686"/>
      <c r="BE814" s="686"/>
      <c r="BF814" s="686"/>
      <c r="BG814" s="686"/>
      <c r="BH814" s="686"/>
      <c r="BI814" s="670"/>
      <c r="BJ814" s="670"/>
      <c r="BK814" s="670"/>
      <c r="BL814" s="670"/>
      <c r="BM814" s="670"/>
      <c r="BN814" s="670"/>
      <c r="BO814" s="670"/>
      <c r="BP814" s="670"/>
      <c r="BQ814" s="670"/>
      <c r="BR814" s="670"/>
      <c r="BS814" s="670"/>
      <c r="BT814" s="670"/>
      <c r="BU814" s="670"/>
      <c r="BV814" s="670"/>
      <c r="BW814" s="670"/>
      <c r="BX814" s="670"/>
      <c r="BY814" s="670"/>
      <c r="BZ814" s="670"/>
      <c r="CA814" s="670"/>
      <c r="CB814" s="670"/>
      <c r="CC814" s="670"/>
    </row>
    <row r="815" spans="1:81" s="549" customFormat="1" ht="12.75" customHeight="1">
      <c r="B815" s="614"/>
      <c r="C815" s="684"/>
      <c r="D815" s="550"/>
      <c r="E815" s="550"/>
      <c r="F815" s="550"/>
      <c r="G815" s="550"/>
      <c r="H815" s="550"/>
      <c r="I815" s="550"/>
      <c r="J815" s="550"/>
      <c r="K815" s="550"/>
      <c r="L815" s="550"/>
      <c r="M815" s="550"/>
      <c r="N815" s="550"/>
      <c r="O815" s="550"/>
      <c r="P815" s="550"/>
      <c r="Q815" s="550"/>
      <c r="R815" s="550"/>
      <c r="S815" s="550"/>
      <c r="T815" s="550"/>
      <c r="U815" s="550"/>
      <c r="V815" s="550"/>
      <c r="W815" s="550"/>
      <c r="X815" s="550"/>
      <c r="Y815" s="550"/>
      <c r="Z815" s="550"/>
      <c r="AA815" s="550"/>
      <c r="AB815" s="550"/>
      <c r="AC815" s="550"/>
      <c r="AD815" s="614"/>
      <c r="AE815" s="550"/>
      <c r="AF815" s="550"/>
      <c r="AG815" s="550"/>
      <c r="AH815" s="550"/>
      <c r="AN815" s="595"/>
    </row>
    <row r="816" spans="1:81" s="549" customFormat="1" ht="12.75" customHeight="1">
      <c r="A816" s="604"/>
      <c r="B816" s="660"/>
      <c r="C816" s="660"/>
      <c r="D816" s="660"/>
      <c r="E816" s="660"/>
      <c r="F816" s="660"/>
      <c r="G816" s="660"/>
      <c r="H816" s="660"/>
      <c r="I816" s="660"/>
      <c r="J816" s="660"/>
      <c r="K816" s="660"/>
      <c r="L816" s="660"/>
      <c r="M816" s="660"/>
      <c r="N816" s="660"/>
      <c r="O816" s="660"/>
      <c r="P816" s="660"/>
      <c r="Q816" s="660"/>
      <c r="R816" s="660"/>
      <c r="S816" s="660"/>
      <c r="T816" s="660"/>
      <c r="U816" s="660"/>
      <c r="V816" s="660"/>
      <c r="W816" s="660"/>
      <c r="X816" s="660"/>
      <c r="Y816" s="660"/>
      <c r="Z816" s="660"/>
      <c r="AA816" s="660"/>
      <c r="AB816" s="660"/>
      <c r="AC816" s="661"/>
      <c r="AD816" s="660"/>
      <c r="AE816" s="562"/>
      <c r="AF816" s="562"/>
      <c r="AG816" s="562"/>
      <c r="AH816" s="562"/>
      <c r="AI816" s="563"/>
      <c r="AJ816" s="563" t="s">
        <v>1443</v>
      </c>
      <c r="AK816" s="2390">
        <f>IF(($AJ$634+$AJ$653+$AJ$665+$AJ$700+$AJ$724+$AJ$738+$AJ$750+$AJ$766+$AJ$778+$AJ$794+AJ805+AJ814)&gt;10,10,($AJ$634+$AJ$653+$AJ$665+$AJ$700+$AJ$724+$AJ$738+$AJ$750+$AJ$766+$AJ$778+$AJ$794+AJ805+AJ814))</f>
        <v>10</v>
      </c>
      <c r="AL816" s="2436"/>
      <c r="AM816" s="2391"/>
      <c r="AN816" s="595"/>
    </row>
    <row r="817" spans="1:43" s="549" customFormat="1" ht="12.75" customHeight="1">
      <c r="B817" s="550"/>
      <c r="C817" s="550"/>
      <c r="D817" s="550"/>
      <c r="E817" s="550"/>
      <c r="F817" s="550"/>
      <c r="G817" s="550"/>
      <c r="H817" s="550"/>
      <c r="I817" s="550"/>
      <c r="J817" s="550"/>
      <c r="K817" s="550"/>
      <c r="L817" s="550"/>
      <c r="M817" s="550"/>
      <c r="N817" s="550"/>
      <c r="O817" s="550"/>
      <c r="P817" s="550"/>
      <c r="Q817" s="550"/>
      <c r="R817" s="550"/>
      <c r="S817" s="550"/>
      <c r="T817" s="550"/>
      <c r="U817" s="550"/>
      <c r="V817" s="550"/>
      <c r="W817" s="550"/>
      <c r="X817" s="550"/>
      <c r="Y817" s="550"/>
      <c r="Z817" s="550"/>
      <c r="AA817" s="550"/>
      <c r="AB817" s="550"/>
      <c r="AC817" s="614"/>
      <c r="AD817" s="550"/>
      <c r="AI817" s="543"/>
      <c r="AJ817" s="543"/>
      <c r="AK817" s="593"/>
      <c r="AL817" s="593"/>
      <c r="AM817" s="593"/>
      <c r="AN817" s="595"/>
    </row>
    <row r="818" spans="1:43">
      <c r="B818" s="549"/>
      <c r="C818" s="549"/>
      <c r="D818" s="549"/>
      <c r="E818" s="549"/>
      <c r="F818" s="549"/>
      <c r="G818" s="549"/>
      <c r="H818" s="549"/>
      <c r="I818" s="549"/>
      <c r="J818" s="549"/>
      <c r="K818" s="549"/>
      <c r="L818" s="549"/>
      <c r="M818" s="549"/>
      <c r="N818" s="549"/>
      <c r="O818" s="549"/>
      <c r="P818" s="549"/>
      <c r="Q818" s="549"/>
      <c r="R818" s="549"/>
      <c r="S818" s="549"/>
      <c r="T818" s="549"/>
      <c r="U818" s="549"/>
      <c r="V818" s="549"/>
      <c r="W818" s="549"/>
      <c r="X818" s="549"/>
      <c r="Y818" s="549"/>
      <c r="Z818" s="549"/>
      <c r="AA818" s="549"/>
      <c r="AB818" s="549"/>
      <c r="AC818" s="549"/>
      <c r="AD818" s="549"/>
      <c r="AE818" s="549"/>
      <c r="AF818" s="549"/>
      <c r="AG818" s="549"/>
      <c r="AH818" s="549"/>
      <c r="AI818" s="549"/>
      <c r="AJ818" s="549"/>
      <c r="AK818" s="549"/>
      <c r="AL818" s="549"/>
      <c r="AM818" s="549"/>
    </row>
    <row r="819" spans="1:43">
      <c r="A819" s="2517" t="s">
        <v>1558</v>
      </c>
      <c r="B819" s="2518"/>
      <c r="C819" s="2518"/>
      <c r="D819" s="2518"/>
      <c r="E819" s="2518"/>
      <c r="F819" s="2518"/>
      <c r="G819" s="2518"/>
      <c r="H819" s="2518"/>
      <c r="I819" s="2518"/>
      <c r="J819" s="2518"/>
      <c r="K819" s="2518"/>
      <c r="L819" s="2518"/>
      <c r="M819" s="2518"/>
      <c r="N819" s="2518"/>
      <c r="O819" s="2518"/>
      <c r="P819" s="2518"/>
      <c r="Q819" s="2518"/>
      <c r="R819" s="2518"/>
      <c r="S819" s="2518"/>
      <c r="T819" s="2518"/>
      <c r="U819" s="2518"/>
      <c r="V819" s="2518"/>
      <c r="W819" s="2518"/>
      <c r="X819" s="2518"/>
      <c r="Y819" s="2518"/>
      <c r="Z819" s="2518"/>
      <c r="AA819" s="2518"/>
      <c r="AB819" s="2518"/>
      <c r="AC819" s="2518"/>
      <c r="AD819" s="2518"/>
      <c r="AE819" s="2518"/>
      <c r="AF819" s="2518"/>
      <c r="AG819" s="2518"/>
      <c r="AH819" s="2518"/>
      <c r="AI819" s="2518"/>
      <c r="AJ819" s="2518"/>
      <c r="AK819" s="2518"/>
      <c r="AL819" s="2518"/>
      <c r="AM819" s="2518"/>
    </row>
    <row r="820" spans="1:43">
      <c r="A820" s="2519"/>
      <c r="B820" s="2519"/>
      <c r="C820" s="2519"/>
      <c r="D820" s="2519"/>
      <c r="E820" s="2519"/>
      <c r="F820" s="2519"/>
      <c r="G820" s="2519"/>
      <c r="H820" s="2519"/>
      <c r="I820" s="2519"/>
      <c r="J820" s="2519"/>
      <c r="K820" s="2519"/>
      <c r="L820" s="2519"/>
      <c r="M820" s="2519"/>
      <c r="N820" s="2519"/>
      <c r="O820" s="2519"/>
      <c r="P820" s="2519"/>
      <c r="Q820" s="2519"/>
      <c r="R820" s="2519"/>
      <c r="S820" s="2519"/>
      <c r="T820" s="2519"/>
      <c r="U820" s="2519"/>
      <c r="V820" s="2519"/>
      <c r="W820" s="2519"/>
      <c r="X820" s="2519"/>
      <c r="Y820" s="2519"/>
      <c r="Z820" s="2519"/>
      <c r="AA820" s="2519"/>
      <c r="AB820" s="2519"/>
      <c r="AC820" s="2519"/>
      <c r="AD820" s="2519"/>
      <c r="AE820" s="2519"/>
      <c r="AF820" s="2519"/>
      <c r="AG820" s="2519"/>
      <c r="AH820" s="2519"/>
      <c r="AI820" s="2519"/>
      <c r="AJ820" s="2519"/>
      <c r="AK820" s="2519"/>
      <c r="AL820" s="2519"/>
      <c r="AM820" s="2519"/>
      <c r="AO820" s="812"/>
      <c r="AP820" s="812"/>
      <c r="AQ820" s="812"/>
    </row>
    <row r="821" spans="1:43">
      <c r="A821" s="549"/>
      <c r="B821" s="569"/>
      <c r="C821" s="570"/>
      <c r="D821" s="570"/>
      <c r="E821" s="570"/>
      <c r="F821" s="570"/>
      <c r="G821" s="570"/>
      <c r="H821" s="570"/>
      <c r="I821" s="571"/>
      <c r="J821" s="571"/>
      <c r="K821" s="571"/>
      <c r="L821" s="571"/>
      <c r="M821" s="571"/>
      <c r="N821" s="571"/>
      <c r="O821" s="571"/>
      <c r="P821" s="571"/>
      <c r="Q821" s="571"/>
      <c r="S821" s="539"/>
      <c r="T821" s="539"/>
      <c r="U821" s="539"/>
      <c r="V821" s="539"/>
      <c r="W821" s="539"/>
      <c r="X821" s="539"/>
      <c r="Y821" s="539"/>
      <c r="Z821" s="539"/>
      <c r="AA821" s="539"/>
      <c r="AB821" s="539"/>
      <c r="AC821" s="539"/>
      <c r="AD821" s="539"/>
      <c r="AE821" s="539"/>
      <c r="AG821" s="539"/>
      <c r="AH821" s="539"/>
      <c r="AI821" s="539"/>
      <c r="AJ821" s="539"/>
      <c r="AK821" s="549"/>
      <c r="AL821" s="549"/>
      <c r="AM821" s="537"/>
      <c r="AO821" s="812"/>
      <c r="AP821" s="812"/>
      <c r="AQ821" s="812"/>
    </row>
    <row r="822" spans="1:43">
      <c r="A822" s="2463"/>
      <c r="B822" s="2463"/>
      <c r="C822" s="2463"/>
      <c r="D822" s="2463"/>
      <c r="E822" s="2463"/>
      <c r="F822" s="2463"/>
      <c r="G822" s="2463"/>
      <c r="H822" s="2463"/>
      <c r="I822" s="2463"/>
      <c r="J822" s="2463"/>
      <c r="K822" s="2463"/>
      <c r="L822" s="2463"/>
      <c r="M822" s="2463"/>
      <c r="N822" s="2463"/>
      <c r="O822" s="2463"/>
      <c r="P822" s="2463"/>
      <c r="Q822" s="2463"/>
      <c r="R822" s="2463"/>
      <c r="S822" s="2463"/>
      <c r="T822" s="2463"/>
      <c r="U822" s="2463"/>
      <c r="V822" s="2463"/>
      <c r="W822" s="2463"/>
      <c r="X822" s="2463"/>
      <c r="Y822" s="2463"/>
      <c r="Z822" s="2463"/>
      <c r="AA822" s="2463"/>
      <c r="AB822" s="2463"/>
      <c r="AC822" s="2463"/>
      <c r="AD822" s="2463"/>
      <c r="AE822" s="2463"/>
      <c r="AF822" s="2463"/>
      <c r="AG822" s="2463"/>
      <c r="AH822" s="2463"/>
      <c r="AI822" s="2463"/>
      <c r="AJ822" s="2463"/>
      <c r="AK822" s="2463"/>
      <c r="AL822" s="2463"/>
      <c r="AM822" s="2463"/>
      <c r="AP822" s="812"/>
      <c r="AQ822" s="812"/>
    </row>
    <row r="823" spans="1:43">
      <c r="A823" s="2463"/>
      <c r="B823" s="2463"/>
      <c r="C823" s="2463"/>
      <c r="D823" s="2463"/>
      <c r="E823" s="2463"/>
      <c r="F823" s="2463"/>
      <c r="G823" s="2463"/>
      <c r="H823" s="2463"/>
      <c r="I823" s="2463"/>
      <c r="J823" s="2463"/>
      <c r="K823" s="2463"/>
      <c r="L823" s="2463"/>
      <c r="M823" s="2463"/>
      <c r="N823" s="2463"/>
      <c r="O823" s="2463"/>
      <c r="P823" s="2463"/>
      <c r="Q823" s="2463"/>
      <c r="R823" s="2463"/>
      <c r="S823" s="2463"/>
      <c r="T823" s="2463"/>
      <c r="U823" s="2463"/>
      <c r="V823" s="2463"/>
      <c r="W823" s="2463"/>
      <c r="X823" s="2463"/>
      <c r="Y823" s="2463"/>
      <c r="Z823" s="2463"/>
      <c r="AA823" s="2463"/>
      <c r="AB823" s="2463"/>
      <c r="AC823" s="2463"/>
      <c r="AD823" s="2463"/>
      <c r="AE823" s="2463"/>
      <c r="AF823" s="2463"/>
      <c r="AG823" s="2463"/>
      <c r="AH823" s="2463"/>
      <c r="AI823" s="2463"/>
      <c r="AJ823" s="2463"/>
      <c r="AK823" s="2463"/>
      <c r="AL823" s="2463"/>
      <c r="AM823" s="2463"/>
      <c r="AO823" s="812"/>
      <c r="AQ823" s="812"/>
    </row>
    <row r="824" spans="1:43">
      <c r="A824" s="813"/>
      <c r="B824" s="663"/>
      <c r="C824" s="663"/>
      <c r="D824" s="663"/>
      <c r="E824" s="663"/>
      <c r="F824" s="663"/>
      <c r="G824" s="663"/>
      <c r="H824" s="663"/>
      <c r="I824" s="663"/>
      <c r="J824" s="663"/>
      <c r="K824" s="663"/>
      <c r="L824" s="663"/>
      <c r="M824" s="663"/>
      <c r="N824" s="663"/>
      <c r="O824" s="663"/>
      <c r="P824" s="663"/>
      <c r="Q824" s="663"/>
      <c r="R824" s="663"/>
      <c r="S824" s="665"/>
      <c r="T824" s="2520" t="s">
        <v>1559</v>
      </c>
      <c r="U824" s="2521"/>
      <c r="V824" s="2521"/>
      <c r="W824" s="2521"/>
      <c r="X824" s="2521"/>
      <c r="Y824" s="2522"/>
      <c r="Z824" s="2520" t="s">
        <v>1560</v>
      </c>
      <c r="AA824" s="2521"/>
      <c r="AB824" s="2521"/>
      <c r="AC824" s="2521"/>
      <c r="AD824" s="2521"/>
      <c r="AE824" s="2522"/>
      <c r="AF824" s="2520" t="s">
        <v>1561</v>
      </c>
      <c r="AG824" s="2521"/>
      <c r="AH824" s="2521"/>
      <c r="AI824" s="2521"/>
      <c r="AJ824" s="2521"/>
      <c r="AK824" s="2522"/>
      <c r="AL824" s="814"/>
      <c r="AM824" s="594"/>
      <c r="AO824" s="812"/>
      <c r="AP824" s="812"/>
      <c r="AQ824" s="812"/>
    </row>
    <row r="825" spans="1:43">
      <c r="A825" s="815"/>
      <c r="B825" s="690"/>
      <c r="C825" s="690"/>
      <c r="D825" s="690"/>
      <c r="E825" s="690"/>
      <c r="F825" s="690"/>
      <c r="G825" s="690"/>
      <c r="H825" s="690"/>
      <c r="I825" s="690"/>
      <c r="J825" s="690"/>
      <c r="K825" s="690"/>
      <c r="L825" s="690"/>
      <c r="M825" s="690"/>
      <c r="N825" s="690"/>
      <c r="O825" s="690"/>
      <c r="P825" s="690"/>
      <c r="Q825" s="690"/>
      <c r="R825" s="690"/>
      <c r="S825" s="704"/>
      <c r="T825" s="2523"/>
      <c r="U825" s="2524"/>
      <c r="V825" s="2524"/>
      <c r="W825" s="2524"/>
      <c r="X825" s="2524"/>
      <c r="Y825" s="2525"/>
      <c r="Z825" s="2523"/>
      <c r="AA825" s="2524"/>
      <c r="AB825" s="2524"/>
      <c r="AC825" s="2524"/>
      <c r="AD825" s="2524"/>
      <c r="AE825" s="2525"/>
      <c r="AF825" s="2523"/>
      <c r="AG825" s="2524"/>
      <c r="AH825" s="2524"/>
      <c r="AI825" s="2524"/>
      <c r="AJ825" s="2524"/>
      <c r="AK825" s="2525"/>
      <c r="AL825" s="814"/>
      <c r="AM825" s="594"/>
      <c r="AO825" s="812"/>
      <c r="AP825" s="812"/>
      <c r="AQ825" s="812"/>
    </row>
    <row r="826" spans="1:43">
      <c r="A826" s="815" t="s">
        <v>757</v>
      </c>
      <c r="B826" s="2478" t="str">
        <f>B7</f>
        <v xml:space="preserve">Acquisition/Rehabilitation Project Priorities </v>
      </c>
      <c r="C826" s="2478"/>
      <c r="D826" s="2478"/>
      <c r="E826" s="2478"/>
      <c r="F826" s="2478"/>
      <c r="G826" s="2478"/>
      <c r="H826" s="2478"/>
      <c r="I826" s="2478"/>
      <c r="J826" s="2478"/>
      <c r="K826" s="2478"/>
      <c r="L826" s="2478"/>
      <c r="M826" s="2478"/>
      <c r="N826" s="2478"/>
      <c r="O826" s="2478"/>
      <c r="P826" s="2478"/>
      <c r="Q826" s="2478"/>
      <c r="R826" s="2478"/>
      <c r="S826" s="2479"/>
      <c r="T826" s="2505">
        <f>AK61</f>
        <v>0</v>
      </c>
      <c r="U826" s="2482"/>
      <c r="V826" s="2482"/>
      <c r="W826" s="2482"/>
      <c r="X826" s="2482"/>
      <c r="Y826" s="2483"/>
      <c r="Z826" s="2481">
        <v>20</v>
      </c>
      <c r="AA826" s="2482"/>
      <c r="AB826" s="2482"/>
      <c r="AC826" s="2482"/>
      <c r="AD826" s="2482"/>
      <c r="AE826" s="2483"/>
      <c r="AF826" s="2461">
        <f>IF(T826&gt;Z826,Z826,T826)</f>
        <v>0</v>
      </c>
      <c r="AG826" s="2461"/>
      <c r="AH826" s="2461"/>
      <c r="AI826" s="2461"/>
      <c r="AJ826" s="2461"/>
      <c r="AK826" s="2461"/>
      <c r="AL826" s="814"/>
      <c r="AM826" s="594"/>
      <c r="AO826" s="812"/>
      <c r="AP826" s="812"/>
      <c r="AQ826" s="812"/>
    </row>
    <row r="827" spans="1:43">
      <c r="A827" s="815" t="s">
        <v>1532</v>
      </c>
      <c r="B827" s="2478" t="s">
        <v>1307</v>
      </c>
      <c r="C827" s="2478"/>
      <c r="D827" s="2478"/>
      <c r="E827" s="2478"/>
      <c r="F827" s="2478"/>
      <c r="G827" s="2478"/>
      <c r="H827" s="2478"/>
      <c r="I827" s="2478"/>
      <c r="J827" s="2478"/>
      <c r="K827" s="2478"/>
      <c r="L827" s="2478"/>
      <c r="M827" s="2478"/>
      <c r="N827" s="2478"/>
      <c r="O827" s="2478"/>
      <c r="P827" s="2478"/>
      <c r="Q827" s="2478"/>
      <c r="R827" s="2478"/>
      <c r="S827" s="2479"/>
      <c r="T827" s="2505">
        <f>AK83</f>
        <v>10</v>
      </c>
      <c r="U827" s="2482"/>
      <c r="V827" s="2482"/>
      <c r="W827" s="2482"/>
      <c r="X827" s="2482"/>
      <c r="Y827" s="2483"/>
      <c r="Z827" s="2481">
        <v>10</v>
      </c>
      <c r="AA827" s="2482"/>
      <c r="AB827" s="2482"/>
      <c r="AC827" s="2482"/>
      <c r="AD827" s="2482"/>
      <c r="AE827" s="2483"/>
      <c r="AF827" s="2461">
        <f>IF(T827&gt;Z827,Z827,T827)</f>
        <v>10</v>
      </c>
      <c r="AG827" s="2461"/>
      <c r="AH827" s="2461"/>
      <c r="AI827" s="2461"/>
      <c r="AJ827" s="2461"/>
      <c r="AK827" s="2461"/>
      <c r="AL827" s="814"/>
      <c r="AM827" s="594"/>
      <c r="AO827" s="812"/>
      <c r="AP827" s="812"/>
      <c r="AQ827" s="812"/>
    </row>
    <row r="828" spans="1:43">
      <c r="A828" s="815" t="s">
        <v>1541</v>
      </c>
      <c r="B828" s="2478" t="s">
        <v>1317</v>
      </c>
      <c r="C828" s="2478"/>
      <c r="D828" s="2478"/>
      <c r="E828" s="2478"/>
      <c r="F828" s="2478"/>
      <c r="G828" s="2478"/>
      <c r="H828" s="2478"/>
      <c r="I828" s="2478"/>
      <c r="J828" s="2478"/>
      <c r="K828" s="2478"/>
      <c r="L828" s="2478"/>
      <c r="M828" s="2478"/>
      <c r="N828" s="2478"/>
      <c r="O828" s="2478"/>
      <c r="P828" s="2478"/>
      <c r="Q828" s="2478"/>
      <c r="R828" s="2478"/>
      <c r="S828" s="2479"/>
      <c r="T828" s="2505">
        <f ca="1">AK108</f>
        <v>20</v>
      </c>
      <c r="U828" s="2482"/>
      <c r="V828" s="2482"/>
      <c r="W828" s="2482"/>
      <c r="X828" s="2482"/>
      <c r="Y828" s="2483"/>
      <c r="Z828" s="2481">
        <v>20</v>
      </c>
      <c r="AA828" s="2482"/>
      <c r="AB828" s="2482"/>
      <c r="AC828" s="2482"/>
      <c r="AD828" s="2482"/>
      <c r="AE828" s="2483"/>
      <c r="AF828" s="2461">
        <f ca="1">IF(T828&gt;Z828,Z828,T828)</f>
        <v>20</v>
      </c>
      <c r="AG828" s="2461"/>
      <c r="AH828" s="2461"/>
      <c r="AI828" s="2461"/>
      <c r="AJ828" s="2461"/>
      <c r="AK828" s="2461"/>
      <c r="AL828" s="814"/>
      <c r="AM828" s="594"/>
      <c r="AO828" s="812"/>
      <c r="AP828" s="812"/>
      <c r="AQ828" s="812"/>
    </row>
    <row r="829" spans="1:43">
      <c r="A829" s="815" t="s">
        <v>1562</v>
      </c>
      <c r="B829" s="2478" t="s">
        <v>1327</v>
      </c>
      <c r="C829" s="2478"/>
      <c r="D829" s="2478"/>
      <c r="E829" s="2478"/>
      <c r="F829" s="2478"/>
      <c r="G829" s="2478"/>
      <c r="H829" s="2478"/>
      <c r="I829" s="2478"/>
      <c r="J829" s="2478"/>
      <c r="K829" s="2478"/>
      <c r="L829" s="2478"/>
      <c r="M829" s="2478"/>
      <c r="N829" s="2478"/>
      <c r="O829" s="2478"/>
      <c r="P829" s="2478"/>
      <c r="Q829" s="2478"/>
      <c r="R829" s="2478"/>
      <c r="S829" s="2479"/>
      <c r="T829" s="2505">
        <f>AK142</f>
        <v>10</v>
      </c>
      <c r="U829" s="2482"/>
      <c r="V829" s="2482"/>
      <c r="W829" s="2482"/>
      <c r="X829" s="2482"/>
      <c r="Y829" s="2483"/>
      <c r="Z829" s="2481">
        <v>10</v>
      </c>
      <c r="AA829" s="2482"/>
      <c r="AB829" s="2482"/>
      <c r="AC829" s="2482"/>
      <c r="AD829" s="2482"/>
      <c r="AE829" s="2483"/>
      <c r="AF829" s="2461">
        <f>IF(T829&gt;Z829,Z829,T829)</f>
        <v>10</v>
      </c>
      <c r="AG829" s="2461"/>
      <c r="AH829" s="2461"/>
      <c r="AI829" s="2461"/>
      <c r="AJ829" s="2461"/>
      <c r="AK829" s="2461"/>
      <c r="AL829" s="814"/>
      <c r="AM829" s="594"/>
      <c r="AO829" s="812"/>
      <c r="AP829" s="812"/>
      <c r="AQ829" s="812"/>
    </row>
    <row r="830" spans="1:43">
      <c r="A830" s="816" t="s">
        <v>1563</v>
      </c>
      <c r="B830" s="2478" t="s">
        <v>1564</v>
      </c>
      <c r="C830" s="2478"/>
      <c r="D830" s="2478"/>
      <c r="E830" s="2478"/>
      <c r="F830" s="2478"/>
      <c r="G830" s="2478"/>
      <c r="H830" s="2478"/>
      <c r="I830" s="2478"/>
      <c r="J830" s="2478"/>
      <c r="K830" s="2478"/>
      <c r="L830" s="2478"/>
      <c r="M830" s="2478"/>
      <c r="N830" s="2478"/>
      <c r="O830" s="2478"/>
      <c r="P830" s="2478"/>
      <c r="Q830" s="2478"/>
      <c r="R830" s="2478"/>
      <c r="S830" s="2479"/>
      <c r="T830" s="2480">
        <f>SUM(T831:Y832)</f>
        <v>10</v>
      </c>
      <c r="U830" s="2480"/>
      <c r="V830" s="2480"/>
      <c r="W830" s="2480"/>
      <c r="X830" s="2480"/>
      <c r="Y830" s="2480"/>
      <c r="Z830" s="2461">
        <v>10</v>
      </c>
      <c r="AA830" s="2461"/>
      <c r="AB830" s="2461"/>
      <c r="AC830" s="2461"/>
      <c r="AD830" s="2461"/>
      <c r="AE830" s="2461"/>
      <c r="AF830" s="2461">
        <f>IF(T830&gt;Z830,Z830,T830)</f>
        <v>10</v>
      </c>
      <c r="AG830" s="2461"/>
      <c r="AH830" s="2461"/>
      <c r="AI830" s="2461"/>
      <c r="AJ830" s="2461"/>
      <c r="AK830" s="2461"/>
      <c r="AL830" s="814"/>
      <c r="AM830" s="594"/>
    </row>
    <row r="831" spans="1:43">
      <c r="A831" s="535"/>
      <c r="B831" s="599"/>
      <c r="C831" s="2484" t="s">
        <v>1565</v>
      </c>
      <c r="D831" s="2484"/>
      <c r="E831" s="2484"/>
      <c r="F831" s="2484"/>
      <c r="G831" s="2484"/>
      <c r="H831" s="2484"/>
      <c r="I831" s="2484"/>
      <c r="J831" s="2484"/>
      <c r="K831" s="2484"/>
      <c r="L831" s="2484"/>
      <c r="M831" s="2484"/>
      <c r="N831" s="2484"/>
      <c r="O831" s="2484"/>
      <c r="P831" s="2484"/>
      <c r="Q831" s="2484"/>
      <c r="R831" s="2484"/>
      <c r="S831" s="2485"/>
      <c r="T831" s="2486">
        <f>AJ165</f>
        <v>7</v>
      </c>
      <c r="U831" s="2486"/>
      <c r="V831" s="2486"/>
      <c r="W831" s="2486"/>
      <c r="X831" s="2486"/>
      <c r="Y831" s="2486"/>
      <c r="Z831" s="2487">
        <v>7</v>
      </c>
      <c r="AA831" s="2487"/>
      <c r="AB831" s="2487"/>
      <c r="AC831" s="2487"/>
      <c r="AD831" s="2487"/>
      <c r="AE831" s="2487"/>
      <c r="AF831" s="2488"/>
      <c r="AG831" s="2488"/>
      <c r="AH831" s="2488"/>
      <c r="AI831" s="2488"/>
      <c r="AJ831" s="2488"/>
      <c r="AK831" s="2488"/>
      <c r="AL831" s="814"/>
      <c r="AM831" s="594"/>
    </row>
    <row r="832" spans="1:43">
      <c r="A832" s="598"/>
      <c r="B832" s="599"/>
      <c r="C832" s="2484" t="s">
        <v>1566</v>
      </c>
      <c r="D832" s="2484"/>
      <c r="E832" s="2484"/>
      <c r="F832" s="2484"/>
      <c r="G832" s="2484"/>
      <c r="H832" s="2484"/>
      <c r="I832" s="2484"/>
      <c r="J832" s="2484"/>
      <c r="K832" s="2484"/>
      <c r="L832" s="2484"/>
      <c r="M832" s="2484"/>
      <c r="N832" s="2484"/>
      <c r="O832" s="2484"/>
      <c r="P832" s="2484"/>
      <c r="Q832" s="2484"/>
      <c r="R832" s="2484"/>
      <c r="S832" s="2485"/>
      <c r="T832" s="2486">
        <f>AJ179</f>
        <v>3</v>
      </c>
      <c r="U832" s="2486"/>
      <c r="V832" s="2486"/>
      <c r="W832" s="2486"/>
      <c r="X832" s="2486"/>
      <c r="Y832" s="2486"/>
      <c r="Z832" s="2487">
        <v>3</v>
      </c>
      <c r="AA832" s="2487"/>
      <c r="AB832" s="2487"/>
      <c r="AC832" s="2487"/>
      <c r="AD832" s="2487"/>
      <c r="AE832" s="2487"/>
      <c r="AF832" s="2488"/>
      <c r="AG832" s="2488"/>
      <c r="AH832" s="2488"/>
      <c r="AI832" s="2488"/>
      <c r="AJ832" s="2488"/>
      <c r="AK832" s="2488"/>
      <c r="AL832" s="814"/>
      <c r="AM832" s="594"/>
      <c r="AO832" s="549"/>
    </row>
    <row r="833" spans="1:81">
      <c r="A833" s="816" t="s">
        <v>1355</v>
      </c>
      <c r="B833" s="2478" t="s">
        <v>1567</v>
      </c>
      <c r="C833" s="2478"/>
      <c r="D833" s="2478"/>
      <c r="E833" s="2478"/>
      <c r="F833" s="2478"/>
      <c r="G833" s="2478"/>
      <c r="H833" s="2478"/>
      <c r="I833" s="2478"/>
      <c r="J833" s="2478"/>
      <c r="K833" s="2478"/>
      <c r="L833" s="2478"/>
      <c r="M833" s="2478"/>
      <c r="N833" s="2478"/>
      <c r="O833" s="2478"/>
      <c r="P833" s="2478"/>
      <c r="Q833" s="2478"/>
      <c r="R833" s="2478"/>
      <c r="S833" s="2479"/>
      <c r="T833" s="2480">
        <f>AK190</f>
        <v>10</v>
      </c>
      <c r="U833" s="2480"/>
      <c r="V833" s="2480"/>
      <c r="W833" s="2480"/>
      <c r="X833" s="2480"/>
      <c r="Y833" s="2480"/>
      <c r="Z833" s="2461">
        <v>10</v>
      </c>
      <c r="AA833" s="2461"/>
      <c r="AB833" s="2461"/>
      <c r="AC833" s="2461"/>
      <c r="AD833" s="2461"/>
      <c r="AE833" s="2461"/>
      <c r="AF833" s="2461">
        <f>IF(T833&gt;Z833,Z833,T833)</f>
        <v>10</v>
      </c>
      <c r="AG833" s="2461"/>
      <c r="AH833" s="2461"/>
      <c r="AI833" s="2461"/>
      <c r="AJ833" s="2461"/>
      <c r="AK833" s="2461"/>
      <c r="AL833" s="814"/>
      <c r="AM833" s="594"/>
    </row>
    <row r="834" spans="1:81" hidden="1">
      <c r="A834" s="815" t="s">
        <v>1363</v>
      </c>
      <c r="B834" s="2478" t="s">
        <v>1364</v>
      </c>
      <c r="C834" s="2478"/>
      <c r="D834" s="2478"/>
      <c r="E834" s="2478"/>
      <c r="F834" s="2478"/>
      <c r="G834" s="2478"/>
      <c r="H834" s="2478"/>
      <c r="I834" s="2478"/>
      <c r="J834" s="2478"/>
      <c r="K834" s="2478"/>
      <c r="L834" s="2478"/>
      <c r="M834" s="2478"/>
      <c r="N834" s="2478"/>
      <c r="O834" s="2478"/>
      <c r="P834" s="2478"/>
      <c r="Q834" s="2478"/>
      <c r="R834" s="2478"/>
      <c r="S834" s="2479"/>
      <c r="T834" s="2480">
        <f>AK272</f>
        <v>0</v>
      </c>
      <c r="U834" s="2480"/>
      <c r="V834" s="2480"/>
      <c r="W834" s="2480"/>
      <c r="X834" s="2480"/>
      <c r="Y834" s="2480"/>
      <c r="Z834" s="2481">
        <v>8</v>
      </c>
      <c r="AA834" s="2482"/>
      <c r="AB834" s="2482"/>
      <c r="AC834" s="2482"/>
      <c r="AD834" s="2482"/>
      <c r="AE834" s="2483"/>
      <c r="AF834" s="2461"/>
      <c r="AG834" s="2461"/>
      <c r="AH834" s="2461"/>
      <c r="AI834" s="2461"/>
      <c r="AJ834" s="2461"/>
      <c r="AK834" s="2461"/>
      <c r="AL834" s="814"/>
      <c r="AM834" s="594"/>
    </row>
    <row r="835" spans="1:81" s="534" customFormat="1" hidden="1">
      <c r="A835" s="816" t="s">
        <v>589</v>
      </c>
      <c r="B835" s="2478" t="s">
        <v>1568</v>
      </c>
      <c r="C835" s="2478"/>
      <c r="D835" s="2478"/>
      <c r="E835" s="2478"/>
      <c r="F835" s="2478"/>
      <c r="G835" s="2478"/>
      <c r="H835" s="2478"/>
      <c r="I835" s="2478"/>
      <c r="J835" s="2478"/>
      <c r="K835" s="2478"/>
      <c r="L835" s="2478"/>
      <c r="M835" s="2478"/>
      <c r="N835" s="2478"/>
      <c r="O835" s="2478"/>
      <c r="P835" s="2478"/>
      <c r="Q835" s="2478"/>
      <c r="R835" s="2478"/>
      <c r="S835" s="2479"/>
      <c r="T835" s="2480">
        <f>IF(AK548&gt;5,5,AK548)</f>
        <v>0</v>
      </c>
      <c r="U835" s="2480"/>
      <c r="V835" s="2480"/>
      <c r="W835" s="2480"/>
      <c r="X835" s="2480"/>
      <c r="Y835" s="2480"/>
      <c r="Z835" s="2461">
        <v>5</v>
      </c>
      <c r="AA835" s="2461"/>
      <c r="AB835" s="2461"/>
      <c r="AC835" s="2461"/>
      <c r="AD835" s="2461"/>
      <c r="AE835" s="2461"/>
      <c r="AF835" s="2461"/>
      <c r="AG835" s="2461"/>
      <c r="AH835" s="2461"/>
      <c r="AI835" s="2461"/>
      <c r="AJ835" s="2461"/>
      <c r="AK835" s="2461"/>
      <c r="AL835" s="814"/>
      <c r="AM835" s="594"/>
      <c r="AO835" s="30"/>
      <c r="AP835" s="14"/>
      <c r="AQ835" s="14"/>
      <c r="AR835" s="14"/>
      <c r="AS835" s="14"/>
      <c r="AT835" s="14"/>
      <c r="AU835" s="14"/>
      <c r="AV835" s="14"/>
      <c r="AW835" s="14"/>
      <c r="AX835" s="14"/>
      <c r="AY835" s="14"/>
      <c r="AZ835" s="14"/>
      <c r="BA835" s="14"/>
      <c r="BB835" s="14"/>
      <c r="BC835" s="14"/>
      <c r="BD835" s="32"/>
      <c r="BE835" s="32"/>
      <c r="BF835" s="32"/>
      <c r="BG835" s="32"/>
      <c r="BH835" s="32"/>
      <c r="BI835" s="14"/>
      <c r="BJ835" s="14"/>
      <c r="BK835" s="14"/>
      <c r="BL835" s="14"/>
      <c r="BM835" s="14"/>
      <c r="BN835" s="14"/>
      <c r="BO835" s="14"/>
      <c r="BP835" s="14"/>
      <c r="BQ835" s="14"/>
      <c r="BR835" s="14"/>
      <c r="BS835" s="14"/>
      <c r="BT835" s="14"/>
      <c r="BU835" s="14"/>
      <c r="BV835" s="14"/>
      <c r="BW835" s="14"/>
      <c r="BX835" s="14"/>
      <c r="BY835" s="14"/>
      <c r="BZ835" s="14"/>
      <c r="CA835" s="14"/>
      <c r="CB835" s="14"/>
      <c r="CC835" s="14"/>
    </row>
    <row r="836" spans="1:81" s="534" customFormat="1">
      <c r="A836" s="815" t="str">
        <f>A275</f>
        <v>h.</v>
      </c>
      <c r="B836" s="2478" t="str">
        <f>B275</f>
        <v>Readiness to Proceed</v>
      </c>
      <c r="C836" s="2478"/>
      <c r="D836" s="2478"/>
      <c r="E836" s="2478"/>
      <c r="F836" s="2478"/>
      <c r="G836" s="2478"/>
      <c r="H836" s="2478"/>
      <c r="I836" s="2478"/>
      <c r="J836" s="2478"/>
      <c r="K836" s="2478"/>
      <c r="L836" s="2478"/>
      <c r="M836" s="2478"/>
      <c r="N836" s="2478"/>
      <c r="O836" s="2478"/>
      <c r="P836" s="2478"/>
      <c r="Q836" s="2478"/>
      <c r="R836" s="2478"/>
      <c r="S836" s="2479"/>
      <c r="T836" s="2480">
        <f>AK298</f>
        <v>10</v>
      </c>
      <c r="U836" s="2480"/>
      <c r="V836" s="2480"/>
      <c r="W836" s="2480"/>
      <c r="X836" s="2480"/>
      <c r="Y836" s="2480"/>
      <c r="Z836" s="2461">
        <v>10</v>
      </c>
      <c r="AA836" s="2461"/>
      <c r="AB836" s="2461"/>
      <c r="AC836" s="2461"/>
      <c r="AD836" s="2461"/>
      <c r="AE836" s="2461"/>
      <c r="AF836" s="2489">
        <f>IF(T836&gt;Z836,Z836,T836)</f>
        <v>10</v>
      </c>
      <c r="AG836" s="2490"/>
      <c r="AH836" s="2490"/>
      <c r="AI836" s="2490"/>
      <c r="AJ836" s="2490"/>
      <c r="AK836" s="2491"/>
      <c r="AL836" s="814"/>
      <c r="AM836" s="594"/>
      <c r="AO836" s="30"/>
      <c r="AP836" s="14"/>
      <c r="AQ836" s="14"/>
      <c r="AR836" s="14"/>
      <c r="AS836" s="14"/>
      <c r="AT836" s="14"/>
      <c r="AU836" s="14"/>
      <c r="AV836" s="14"/>
      <c r="AW836" s="14"/>
      <c r="AX836" s="14"/>
      <c r="AY836" s="14"/>
      <c r="AZ836" s="14"/>
      <c r="BA836" s="14"/>
      <c r="BB836" s="14"/>
      <c r="BC836" s="14"/>
      <c r="BD836" s="32"/>
      <c r="BE836" s="32"/>
      <c r="BF836" s="32"/>
      <c r="BG836" s="32"/>
      <c r="BH836" s="32"/>
      <c r="BI836" s="14"/>
      <c r="BJ836" s="14"/>
      <c r="BK836" s="14"/>
      <c r="BL836" s="14"/>
      <c r="BM836" s="14"/>
      <c r="BN836" s="14"/>
      <c r="BO836" s="14"/>
      <c r="BP836" s="14"/>
      <c r="BQ836" s="14"/>
      <c r="BR836" s="14"/>
      <c r="BS836" s="14"/>
      <c r="BT836" s="14"/>
      <c r="BU836" s="14"/>
      <c r="BV836" s="14"/>
      <c r="BW836" s="14"/>
      <c r="BX836" s="14"/>
      <c r="BY836" s="14"/>
      <c r="BZ836" s="14"/>
      <c r="CA836" s="14"/>
      <c r="CB836" s="14"/>
      <c r="CC836" s="14"/>
    </row>
    <row r="837" spans="1:81" s="534" customFormat="1">
      <c r="A837" s="816" t="str">
        <f>A301</f>
        <v>i.</v>
      </c>
      <c r="B837" s="2478" t="str">
        <f>B301</f>
        <v>Access to Opportunity</v>
      </c>
      <c r="C837" s="2478"/>
      <c r="D837" s="2478"/>
      <c r="E837" s="2478"/>
      <c r="F837" s="2478"/>
      <c r="G837" s="2478"/>
      <c r="H837" s="2478"/>
      <c r="I837" s="2478"/>
      <c r="J837" s="2478"/>
      <c r="K837" s="2478"/>
      <c r="L837" s="2478"/>
      <c r="M837" s="2478"/>
      <c r="N837" s="2478"/>
      <c r="O837" s="2478"/>
      <c r="P837" s="2478"/>
      <c r="Q837" s="2478"/>
      <c r="R837" s="2478"/>
      <c r="S837" s="2479"/>
      <c r="T837" s="2480">
        <f>AK351</f>
        <v>9</v>
      </c>
      <c r="U837" s="2480"/>
      <c r="V837" s="2480"/>
      <c r="W837" s="2480"/>
      <c r="X837" s="2480"/>
      <c r="Y837" s="2480"/>
      <c r="Z837" s="2489">
        <v>10</v>
      </c>
      <c r="AA837" s="2490"/>
      <c r="AB837" s="2490"/>
      <c r="AC837" s="2490"/>
      <c r="AD837" s="2490"/>
      <c r="AE837" s="2491"/>
      <c r="AF837" s="2489">
        <f>IF(T837&gt;Z837,Z837,T837)</f>
        <v>9</v>
      </c>
      <c r="AG837" s="2490"/>
      <c r="AH837" s="2490"/>
      <c r="AI837" s="2490"/>
      <c r="AJ837" s="2490"/>
      <c r="AK837" s="2491"/>
      <c r="AL837" s="539"/>
      <c r="AM837" s="594"/>
      <c r="AO837" s="30"/>
      <c r="AP837" s="14"/>
      <c r="AQ837" s="14"/>
      <c r="AR837" s="14"/>
      <c r="AS837" s="14"/>
      <c r="AT837" s="14"/>
      <c r="AU837" s="14"/>
      <c r="AV837" s="14"/>
      <c r="AW837" s="14"/>
      <c r="AX837" s="14"/>
      <c r="AY837" s="14"/>
      <c r="AZ837" s="14"/>
      <c r="BA837" s="14"/>
      <c r="BB837" s="14"/>
      <c r="BC837" s="14"/>
      <c r="BD837" s="32"/>
      <c r="BE837" s="32"/>
      <c r="BF837" s="32"/>
      <c r="BG837" s="32"/>
      <c r="BH837" s="32"/>
      <c r="BI837" s="14"/>
      <c r="BJ837" s="14"/>
      <c r="BK837" s="14"/>
      <c r="BL837" s="14"/>
      <c r="BM837" s="14"/>
      <c r="BN837" s="14"/>
      <c r="BO837" s="14"/>
      <c r="BP837" s="14"/>
      <c r="BQ837" s="14"/>
      <c r="BR837" s="14"/>
      <c r="BS837" s="14"/>
      <c r="BT837" s="14"/>
      <c r="BU837" s="14"/>
      <c r="BV837" s="14"/>
      <c r="BW837" s="14"/>
      <c r="BX837" s="14"/>
      <c r="BY837" s="14"/>
      <c r="BZ837" s="14"/>
      <c r="CA837" s="14"/>
      <c r="CB837" s="14"/>
      <c r="CC837" s="14"/>
    </row>
    <row r="838" spans="1:81" s="534" customFormat="1" hidden="1">
      <c r="A838" s="816"/>
      <c r="B838" s="817"/>
      <c r="C838" s="818" t="s">
        <v>1569</v>
      </c>
      <c r="D838" s="819"/>
      <c r="E838" s="819"/>
      <c r="F838" s="819"/>
      <c r="G838" s="819"/>
      <c r="H838" s="819"/>
      <c r="I838" s="819"/>
      <c r="J838" s="819"/>
      <c r="K838" s="819"/>
      <c r="L838" s="819"/>
      <c r="M838" s="819"/>
      <c r="N838" s="819"/>
      <c r="O838" s="819"/>
      <c r="P838" s="819"/>
      <c r="Q838" s="819"/>
      <c r="R838" s="817"/>
      <c r="S838" s="820"/>
      <c r="T838" s="2486">
        <f>AK351</f>
        <v>9</v>
      </c>
      <c r="U838" s="2486"/>
      <c r="V838" s="2486"/>
      <c r="W838" s="2486"/>
      <c r="X838" s="2486"/>
      <c r="Y838" s="2486"/>
      <c r="Z838" s="2390">
        <v>20</v>
      </c>
      <c r="AA838" s="2436"/>
      <c r="AB838" s="2436"/>
      <c r="AC838" s="2436"/>
      <c r="AD838" s="2436"/>
      <c r="AE838" s="2391"/>
      <c r="AF838" s="2488"/>
      <c r="AG838" s="2488"/>
      <c r="AH838" s="2488"/>
      <c r="AI838" s="2488"/>
      <c r="AJ838" s="2488"/>
      <c r="AK838" s="2488"/>
      <c r="AL838" s="539"/>
      <c r="AM838" s="594"/>
      <c r="AO838" s="30"/>
      <c r="AP838" s="14"/>
      <c r="AQ838" s="14"/>
      <c r="AR838" s="14"/>
      <c r="AS838" s="14"/>
      <c r="AT838" s="14"/>
      <c r="AU838" s="14"/>
      <c r="AV838" s="14"/>
      <c r="AW838" s="14"/>
      <c r="AX838" s="14"/>
      <c r="AY838" s="14"/>
      <c r="AZ838" s="14"/>
      <c r="BA838" s="14"/>
      <c r="BB838" s="14"/>
      <c r="BC838" s="14"/>
      <c r="BD838" s="32"/>
      <c r="BE838" s="32"/>
      <c r="BF838" s="32"/>
      <c r="BG838" s="32"/>
      <c r="BH838" s="32"/>
      <c r="BI838" s="14"/>
      <c r="BJ838" s="14"/>
      <c r="BK838" s="14"/>
      <c r="BL838" s="14"/>
      <c r="BM838" s="14"/>
      <c r="BN838" s="14"/>
      <c r="BO838" s="14"/>
      <c r="BP838" s="14"/>
      <c r="BQ838" s="14"/>
      <c r="BR838" s="14"/>
      <c r="BS838" s="14"/>
      <c r="BT838" s="14"/>
      <c r="BU838" s="14"/>
      <c r="BV838" s="14"/>
      <c r="BW838" s="14"/>
      <c r="BX838" s="14"/>
      <c r="BY838" s="14"/>
      <c r="BZ838" s="14"/>
      <c r="CA838" s="14"/>
      <c r="CB838" s="14"/>
      <c r="CC838" s="14"/>
    </row>
    <row r="839" spans="1:81" s="534" customFormat="1">
      <c r="A839" s="816" t="str">
        <f>A354</f>
        <v>j.</v>
      </c>
      <c r="B839" s="2478" t="s">
        <v>845</v>
      </c>
      <c r="C839" s="2478"/>
      <c r="D839" s="2478"/>
      <c r="E839" s="2478"/>
      <c r="F839" s="2478"/>
      <c r="G839" s="2478"/>
      <c r="H839" s="2478"/>
      <c r="I839" s="2478"/>
      <c r="J839" s="2478"/>
      <c r="K839" s="2478"/>
      <c r="L839" s="2478"/>
      <c r="M839" s="2478"/>
      <c r="N839" s="2478"/>
      <c r="O839" s="2478"/>
      <c r="P839" s="2478"/>
      <c r="Q839" s="2478"/>
      <c r="R839" s="2478"/>
      <c r="S839" s="2479"/>
      <c r="T839" s="2480">
        <f>AK482</f>
        <v>10</v>
      </c>
      <c r="U839" s="2480"/>
      <c r="V839" s="2480"/>
      <c r="W839" s="2480"/>
      <c r="X839" s="2480"/>
      <c r="Y839" s="2480"/>
      <c r="Z839" s="2489">
        <v>10</v>
      </c>
      <c r="AA839" s="2490"/>
      <c r="AB839" s="2490"/>
      <c r="AC839" s="2490"/>
      <c r="AD839" s="2490"/>
      <c r="AE839" s="2491"/>
      <c r="AF839" s="2461">
        <f>IF(T839&gt;Z839,Z839,T839)</f>
        <v>10</v>
      </c>
      <c r="AG839" s="2461"/>
      <c r="AH839" s="2461"/>
      <c r="AI839" s="2461"/>
      <c r="AJ839" s="2461"/>
      <c r="AK839" s="2461"/>
      <c r="AL839" s="539"/>
      <c r="AM839" s="594"/>
      <c r="AO839" s="30"/>
      <c r="AP839" s="14"/>
      <c r="AQ839" s="14"/>
      <c r="AR839" s="14"/>
      <c r="AS839" s="14"/>
      <c r="AT839" s="14"/>
      <c r="AU839" s="14"/>
      <c r="AV839" s="14"/>
      <c r="AW839" s="14"/>
      <c r="AX839" s="14"/>
      <c r="AY839" s="14"/>
      <c r="AZ839" s="14"/>
      <c r="BA839" s="14"/>
      <c r="BB839" s="14"/>
      <c r="BC839" s="14"/>
      <c r="BD839" s="32"/>
      <c r="BE839" s="32"/>
      <c r="BF839" s="32"/>
      <c r="BG839" s="32"/>
      <c r="BH839" s="32"/>
      <c r="BI839" s="14"/>
      <c r="BJ839" s="14"/>
      <c r="BK839" s="14"/>
      <c r="BL839" s="14"/>
      <c r="BM839" s="14"/>
      <c r="BN839" s="14"/>
      <c r="BO839" s="14"/>
      <c r="BP839" s="14"/>
      <c r="BQ839" s="14"/>
      <c r="BR839" s="14"/>
      <c r="BS839" s="14"/>
      <c r="BT839" s="14"/>
      <c r="BU839" s="14"/>
      <c r="BV839" s="14"/>
      <c r="BW839" s="14"/>
      <c r="BX839" s="14"/>
      <c r="BY839" s="14"/>
      <c r="BZ839" s="14"/>
      <c r="CA839" s="14"/>
      <c r="CB839" s="14"/>
      <c r="CC839" s="14"/>
    </row>
    <row r="840" spans="1:81" s="534" customFormat="1">
      <c r="A840" s="816" t="str">
        <f>A551</f>
        <v>k.</v>
      </c>
      <c r="B840" s="2478" t="s">
        <v>1550</v>
      </c>
      <c r="C840" s="2478"/>
      <c r="D840" s="2478"/>
      <c r="E840" s="2478"/>
      <c r="F840" s="2478"/>
      <c r="G840" s="2478"/>
      <c r="H840" s="2478"/>
      <c r="I840" s="2478"/>
      <c r="J840" s="2478"/>
      <c r="K840" s="2478"/>
      <c r="L840" s="2478"/>
      <c r="M840" s="2478"/>
      <c r="N840" s="2478"/>
      <c r="O840" s="2478"/>
      <c r="P840" s="2478"/>
      <c r="Q840" s="2478"/>
      <c r="R840" s="2478"/>
      <c r="S840" s="2479"/>
      <c r="T840" s="2480">
        <f>AK572</f>
        <v>12</v>
      </c>
      <c r="U840" s="2480"/>
      <c r="V840" s="2480"/>
      <c r="W840" s="2480"/>
      <c r="X840" s="2480"/>
      <c r="Y840" s="2480"/>
      <c r="Z840" s="2489">
        <v>12</v>
      </c>
      <c r="AA840" s="2490"/>
      <c r="AB840" s="2490"/>
      <c r="AC840" s="2490"/>
      <c r="AD840" s="2490"/>
      <c r="AE840" s="2491"/>
      <c r="AF840" s="2461">
        <f>IF(T840&gt;Z840,Z840,T840)</f>
        <v>12</v>
      </c>
      <c r="AG840" s="2461"/>
      <c r="AH840" s="2461"/>
      <c r="AI840" s="2461"/>
      <c r="AJ840" s="2461"/>
      <c r="AK840" s="2461"/>
      <c r="AL840" s="539"/>
      <c r="AM840" s="594"/>
      <c r="AO840" s="30"/>
      <c r="AP840" s="14"/>
      <c r="AQ840" s="14"/>
      <c r="AR840" s="14"/>
      <c r="AS840" s="14"/>
      <c r="AT840" s="14"/>
      <c r="AU840" s="14"/>
      <c r="AV840" s="14"/>
      <c r="AW840" s="14"/>
      <c r="AX840" s="14"/>
      <c r="AY840" s="14"/>
      <c r="AZ840" s="14"/>
      <c r="BA840" s="14"/>
      <c r="BB840" s="14"/>
      <c r="BC840" s="14"/>
      <c r="BD840" s="32"/>
      <c r="BE840" s="32"/>
      <c r="BF840" s="32"/>
      <c r="BG840" s="32"/>
      <c r="BH840" s="32"/>
      <c r="BI840" s="14"/>
      <c r="BJ840" s="14"/>
      <c r="BK840" s="14"/>
      <c r="BL840" s="14"/>
      <c r="BM840" s="14"/>
      <c r="BN840" s="14"/>
      <c r="BO840" s="14"/>
      <c r="BP840" s="14"/>
      <c r="BQ840" s="14"/>
      <c r="BR840" s="14"/>
      <c r="BS840" s="14"/>
      <c r="BT840" s="14"/>
      <c r="BU840" s="14"/>
      <c r="BV840" s="14"/>
      <c r="BW840" s="14"/>
      <c r="BX840" s="14"/>
      <c r="BY840" s="14"/>
      <c r="BZ840" s="14"/>
      <c r="CA840" s="14"/>
      <c r="CB840" s="14"/>
      <c r="CC840" s="14"/>
    </row>
    <row r="841" spans="1:81" s="534" customFormat="1">
      <c r="A841" s="816" t="str">
        <f>A575</f>
        <v>l.</v>
      </c>
      <c r="B841" s="2478" t="s">
        <v>1570</v>
      </c>
      <c r="C841" s="2478"/>
      <c r="D841" s="2478"/>
      <c r="E841" s="2478"/>
      <c r="F841" s="2478"/>
      <c r="G841" s="2478"/>
      <c r="H841" s="2478"/>
      <c r="I841" s="2478"/>
      <c r="J841" s="2478"/>
      <c r="K841" s="2478"/>
      <c r="L841" s="2478"/>
      <c r="M841" s="2478"/>
      <c r="N841" s="2478"/>
      <c r="O841" s="2478"/>
      <c r="P841" s="2478"/>
      <c r="Q841" s="2478"/>
      <c r="R841" s="2478"/>
      <c r="S841" s="2479"/>
      <c r="T841" s="2480">
        <f>AK816</f>
        <v>10</v>
      </c>
      <c r="U841" s="2480"/>
      <c r="V841" s="2480"/>
      <c r="W841" s="2480"/>
      <c r="X841" s="2480"/>
      <c r="Y841" s="2480"/>
      <c r="Z841" s="2489">
        <v>10</v>
      </c>
      <c r="AA841" s="2490"/>
      <c r="AB841" s="2490"/>
      <c r="AC841" s="2490"/>
      <c r="AD841" s="2490"/>
      <c r="AE841" s="2491"/>
      <c r="AF841" s="2461">
        <f>IF(T841&gt;Z841,Z841,T841)</f>
        <v>10</v>
      </c>
      <c r="AG841" s="2461"/>
      <c r="AH841" s="2461"/>
      <c r="AI841" s="2461"/>
      <c r="AJ841" s="2461"/>
      <c r="AK841" s="2461"/>
      <c r="AL841" s="539"/>
      <c r="AM841" s="594"/>
      <c r="AO841" s="30"/>
      <c r="AP841" s="14"/>
      <c r="AQ841" s="14"/>
      <c r="AR841" s="14"/>
      <c r="AS841" s="14"/>
      <c r="AT841" s="14"/>
      <c r="AU841" s="14"/>
      <c r="AV841" s="14"/>
      <c r="AW841" s="14"/>
      <c r="AX841" s="14"/>
      <c r="AY841" s="14"/>
      <c r="AZ841" s="14"/>
      <c r="BA841" s="14"/>
      <c r="BB841" s="14"/>
      <c r="BC841" s="14"/>
      <c r="BD841" s="32"/>
      <c r="BE841" s="32"/>
      <c r="BF841" s="32"/>
      <c r="BG841" s="32"/>
      <c r="BH841" s="32"/>
      <c r="BI841" s="14"/>
      <c r="BJ841" s="14"/>
      <c r="BK841" s="14"/>
      <c r="BL841" s="14"/>
      <c r="BM841" s="14"/>
      <c r="BN841" s="14"/>
      <c r="BO841" s="14"/>
      <c r="BP841" s="14"/>
      <c r="BQ841" s="14"/>
      <c r="BR841" s="14"/>
      <c r="BS841" s="14"/>
      <c r="BT841" s="14"/>
      <c r="BU841" s="14"/>
      <c r="BV841" s="14"/>
      <c r="BW841" s="14"/>
      <c r="BX841" s="14"/>
      <c r="BY841" s="14"/>
      <c r="BZ841" s="14"/>
      <c r="CA841" s="14"/>
      <c r="CB841" s="14"/>
      <c r="CC841" s="14"/>
    </row>
    <row r="842" spans="1:81" s="534" customFormat="1">
      <c r="A842" s="538" t="s">
        <v>1983</v>
      </c>
      <c r="B842" s="696" t="s">
        <v>1571</v>
      </c>
      <c r="C842" s="696"/>
      <c r="D842" s="696"/>
      <c r="E842" s="696"/>
      <c r="F842" s="696"/>
      <c r="G842" s="696"/>
      <c r="H842" s="696"/>
      <c r="I842" s="696"/>
      <c r="J842" s="696"/>
      <c r="K842" s="696"/>
      <c r="L842" s="696"/>
      <c r="M842" s="696"/>
      <c r="N842" s="696"/>
      <c r="O842" s="696"/>
      <c r="P842" s="696"/>
      <c r="Q842" s="696"/>
      <c r="R842" s="696"/>
      <c r="S842" s="1200"/>
      <c r="T842" s="2492"/>
      <c r="U842" s="2492"/>
      <c r="V842" s="2492"/>
      <c r="W842" s="2492"/>
      <c r="X842" s="2492"/>
      <c r="Y842" s="2492"/>
      <c r="Z842" s="2487" t="s">
        <v>1572</v>
      </c>
      <c r="AA842" s="2487"/>
      <c r="AB842" s="2487"/>
      <c r="AC842" s="2487"/>
      <c r="AD842" s="2487"/>
      <c r="AE842" s="2487"/>
      <c r="AF842" s="2489">
        <f>ABS(T842)</f>
        <v>0</v>
      </c>
      <c r="AG842" s="2490"/>
      <c r="AH842" s="2490"/>
      <c r="AI842" s="2490"/>
      <c r="AJ842" s="2490"/>
      <c r="AK842" s="2491"/>
      <c r="AL842" s="589"/>
      <c r="AM842" s="594"/>
      <c r="AO842" s="30"/>
      <c r="AP842" s="14"/>
      <c r="AQ842" s="14"/>
      <c r="AR842" s="14"/>
      <c r="AS842" s="14"/>
      <c r="AT842" s="14"/>
      <c r="AU842" s="14"/>
      <c r="AV842" s="14"/>
      <c r="AW842" s="14"/>
      <c r="AX842" s="14"/>
      <c r="AY842" s="14"/>
      <c r="AZ842" s="14"/>
      <c r="BA842" s="14"/>
      <c r="BB842" s="14"/>
      <c r="BC842" s="14"/>
      <c r="BD842" s="32"/>
      <c r="BE842" s="32"/>
      <c r="BF842" s="32"/>
      <c r="BG842" s="32"/>
      <c r="BH842" s="32"/>
      <c r="BI842" s="14"/>
      <c r="BJ842" s="14"/>
      <c r="BK842" s="14"/>
      <c r="BL842" s="14"/>
      <c r="BM842" s="14"/>
      <c r="BN842" s="14"/>
      <c r="BO842" s="14"/>
      <c r="BP842" s="14"/>
      <c r="BQ842" s="14"/>
      <c r="BR842" s="14"/>
      <c r="BS842" s="14"/>
      <c r="BT842" s="14"/>
      <c r="BU842" s="14"/>
      <c r="BV842" s="14"/>
      <c r="BW842" s="14"/>
      <c r="BX842" s="14"/>
      <c r="BY842" s="14"/>
      <c r="BZ842" s="14"/>
      <c r="CA842" s="14"/>
      <c r="CB842" s="14"/>
      <c r="CC842" s="14"/>
    </row>
    <row r="843" spans="1:81" s="534" customFormat="1" ht="15.75">
      <c r="A843" s="2493" t="s">
        <v>1573</v>
      </c>
      <c r="B843" s="2494"/>
      <c r="C843" s="2494"/>
      <c r="D843" s="2494"/>
      <c r="E843" s="2494"/>
      <c r="F843" s="2494"/>
      <c r="G843" s="2494"/>
      <c r="H843" s="2494"/>
      <c r="I843" s="2494"/>
      <c r="J843" s="2494"/>
      <c r="K843" s="2494"/>
      <c r="L843" s="2494"/>
      <c r="M843" s="2494"/>
      <c r="N843" s="2494"/>
      <c r="O843" s="2494"/>
      <c r="P843" s="2494"/>
      <c r="Q843" s="2494"/>
      <c r="R843" s="2494"/>
      <c r="S843" s="2494"/>
      <c r="T843" s="2494"/>
      <c r="U843" s="2494"/>
      <c r="V843" s="2494"/>
      <c r="W843" s="2494"/>
      <c r="X843" s="2494"/>
      <c r="Y843" s="2494"/>
      <c r="Z843" s="2494"/>
      <c r="AA843" s="2494"/>
      <c r="AB843" s="2494"/>
      <c r="AC843" s="2494"/>
      <c r="AD843" s="2494"/>
      <c r="AE843" s="2495"/>
      <c r="AF843" s="2499">
        <f ca="1">SUM(AF826:AK841)-AF842</f>
        <v>111</v>
      </c>
      <c r="AG843" s="2500"/>
      <c r="AH843" s="2500"/>
      <c r="AI843" s="2500"/>
      <c r="AJ843" s="2500"/>
      <c r="AK843" s="2501"/>
      <c r="AL843" s="821"/>
      <c r="AM843" s="549"/>
      <c r="AO843" s="30"/>
      <c r="AP843" s="14"/>
      <c r="AQ843" s="14"/>
      <c r="AR843" s="14"/>
      <c r="AS843" s="14"/>
      <c r="AT843" s="14"/>
      <c r="AU843" s="14"/>
      <c r="AV843" s="14"/>
      <c r="AW843" s="14"/>
      <c r="AX843" s="14"/>
      <c r="AY843" s="14"/>
      <c r="AZ843" s="14"/>
      <c r="BA843" s="14"/>
      <c r="BB843" s="14"/>
      <c r="BC843" s="14"/>
      <c r="BD843" s="32"/>
      <c r="BE843" s="32"/>
      <c r="BF843" s="32"/>
      <c r="BG843" s="32"/>
      <c r="BH843" s="32"/>
      <c r="BI843" s="14"/>
      <c r="BJ843" s="14"/>
      <c r="BK843" s="14"/>
      <c r="BL843" s="14"/>
      <c r="BM843" s="14"/>
      <c r="BN843" s="14"/>
      <c r="BO843" s="14"/>
      <c r="BP843" s="14"/>
      <c r="BQ843" s="14"/>
      <c r="BR843" s="14"/>
      <c r="BS843" s="14"/>
      <c r="BT843" s="14"/>
      <c r="BU843" s="14"/>
      <c r="BV843" s="14"/>
      <c r="BW843" s="14"/>
      <c r="BX843" s="14"/>
      <c r="BY843" s="14"/>
      <c r="BZ843" s="14"/>
      <c r="CA843" s="14"/>
      <c r="CB843" s="14"/>
      <c r="CC843" s="14"/>
    </row>
    <row r="844" spans="1:81" s="534" customFormat="1" ht="15.75">
      <c r="A844" s="2496"/>
      <c r="B844" s="2497"/>
      <c r="C844" s="2497"/>
      <c r="D844" s="2497"/>
      <c r="E844" s="2497"/>
      <c r="F844" s="2497"/>
      <c r="G844" s="2497"/>
      <c r="H844" s="2497"/>
      <c r="I844" s="2497"/>
      <c r="J844" s="2497"/>
      <c r="K844" s="2497"/>
      <c r="L844" s="2497"/>
      <c r="M844" s="2497"/>
      <c r="N844" s="2497"/>
      <c r="O844" s="2497"/>
      <c r="P844" s="2497"/>
      <c r="Q844" s="2497"/>
      <c r="R844" s="2497"/>
      <c r="S844" s="2497"/>
      <c r="T844" s="2497"/>
      <c r="U844" s="2497"/>
      <c r="V844" s="2497"/>
      <c r="W844" s="2497"/>
      <c r="X844" s="2497"/>
      <c r="Y844" s="2497"/>
      <c r="Z844" s="2497"/>
      <c r="AA844" s="2497"/>
      <c r="AB844" s="2497"/>
      <c r="AC844" s="2497"/>
      <c r="AD844" s="2497"/>
      <c r="AE844" s="2498"/>
      <c r="AF844" s="2502"/>
      <c r="AG844" s="2503"/>
      <c r="AH844" s="2503"/>
      <c r="AI844" s="2503"/>
      <c r="AJ844" s="2503"/>
      <c r="AK844" s="2504"/>
      <c r="AL844" s="821"/>
      <c r="AM844" s="549"/>
      <c r="AO844" s="30"/>
      <c r="AP844" s="14"/>
      <c r="AQ844" s="14"/>
      <c r="AR844" s="14"/>
      <c r="AS844" s="14"/>
      <c r="AT844" s="14"/>
      <c r="AU844" s="14"/>
      <c r="AV844" s="14"/>
      <c r="AW844" s="14"/>
      <c r="AX844" s="14"/>
      <c r="AY844" s="14"/>
      <c r="AZ844" s="14"/>
      <c r="BA844" s="14"/>
      <c r="BB844" s="14"/>
      <c r="BC844" s="14"/>
      <c r="BD844" s="32"/>
      <c r="BE844" s="32"/>
      <c r="BF844" s="32"/>
      <c r="BG844" s="32"/>
      <c r="BH844" s="32"/>
      <c r="BI844" s="14"/>
      <c r="BJ844" s="14"/>
      <c r="BK844" s="14"/>
      <c r="BL844" s="14"/>
      <c r="BM844" s="14"/>
      <c r="BN844" s="14"/>
      <c r="BO844" s="14"/>
      <c r="BP844" s="14"/>
      <c r="BQ844" s="14"/>
      <c r="BR844" s="14"/>
      <c r="BS844" s="14"/>
      <c r="BT844" s="14"/>
      <c r="BU844" s="14"/>
      <c r="BV844" s="14"/>
      <c r="BW844" s="14"/>
      <c r="BX844" s="14"/>
      <c r="BY844" s="14"/>
      <c r="BZ844" s="14"/>
      <c r="CA844" s="14"/>
      <c r="CB844" s="14"/>
      <c r="CC844" s="14"/>
    </row>
    <row r="845" spans="1:81" s="534" customFormat="1">
      <c r="A845" s="659"/>
      <c r="B845" s="659"/>
      <c r="C845" s="659"/>
      <c r="D845" s="659"/>
      <c r="E845" s="659"/>
      <c r="F845" s="659"/>
      <c r="G845" s="659"/>
      <c r="H845" s="659"/>
      <c r="I845" s="659"/>
      <c r="J845" s="659"/>
      <c r="K845" s="659"/>
      <c r="L845" s="659"/>
      <c r="M845" s="659"/>
      <c r="N845" s="659"/>
      <c r="O845" s="659"/>
      <c r="P845" s="659"/>
      <c r="Q845" s="659"/>
      <c r="R845" s="659"/>
      <c r="S845" s="659"/>
      <c r="T845" s="659"/>
      <c r="U845" s="659"/>
      <c r="V845" s="659"/>
      <c r="W845" s="659"/>
      <c r="X845" s="659"/>
      <c r="Y845" s="659"/>
      <c r="Z845" s="659"/>
      <c r="AA845" s="659"/>
      <c r="AB845" s="659"/>
      <c r="AC845" s="659"/>
      <c r="AD845" s="659"/>
      <c r="AE845" s="659"/>
      <c r="AF845" s="659"/>
      <c r="AG845" s="659"/>
      <c r="AH845" s="659"/>
      <c r="AI845" s="659"/>
      <c r="AJ845" s="659"/>
      <c r="AK845" s="659"/>
      <c r="AL845" s="659"/>
      <c r="AM845" s="822"/>
      <c r="AO845" s="30"/>
      <c r="AP845" s="14"/>
      <c r="AQ845" s="14"/>
      <c r="AR845" s="14"/>
      <c r="AS845" s="14"/>
      <c r="AT845" s="14"/>
      <c r="AU845" s="14"/>
      <c r="AV845" s="14"/>
      <c r="AW845" s="14"/>
      <c r="AX845" s="14"/>
      <c r="AY845" s="14"/>
      <c r="AZ845" s="14"/>
      <c r="BA845" s="14"/>
      <c r="BB845" s="14"/>
      <c r="BC845" s="14"/>
      <c r="BD845" s="32"/>
      <c r="BE845" s="32"/>
      <c r="BF845" s="32"/>
      <c r="BG845" s="32"/>
      <c r="BH845" s="32"/>
      <c r="BI845" s="14"/>
      <c r="BJ845" s="14"/>
      <c r="BK845" s="14"/>
      <c r="BL845" s="14"/>
      <c r="BM845" s="14"/>
      <c r="BN845" s="14"/>
      <c r="BO845" s="14"/>
      <c r="BP845" s="14"/>
      <c r="BQ845" s="14"/>
      <c r="BR845" s="14"/>
      <c r="BS845" s="14"/>
      <c r="BT845" s="14"/>
      <c r="BU845" s="14"/>
      <c r="BV845" s="14"/>
      <c r="BW845" s="14"/>
      <c r="BX845" s="14"/>
      <c r="BY845" s="14"/>
      <c r="BZ845" s="14"/>
      <c r="CA845" s="14"/>
      <c r="CB845" s="14"/>
      <c r="CC845" s="14"/>
    </row>
  </sheetData>
  <sheetProtection algorithmName="SHA-512" hashValue="a6p7REjd45Fy6DBzzJ5UAwiYjp5paRHxi5yeu3/gWP5Uhplrh8R5wpCN17w/QbUeyqj0xJusZWH7/kq+oXEEuw==" saltValue="yBUXRAerdu+rRVM6UQxrUg==" spinCount="100000" sheet="1" objects="1" scenarios="1"/>
  <mergeCells count="514">
    <mergeCell ref="B289:AL296"/>
    <mergeCell ref="B30:C30"/>
    <mergeCell ref="E30:AJ31"/>
    <mergeCell ref="B39:C39"/>
    <mergeCell ref="E39:AJ39"/>
    <mergeCell ref="E43:AJ44"/>
    <mergeCell ref="B56:C56"/>
    <mergeCell ref="E56:AJ57"/>
    <mergeCell ref="B59:C59"/>
    <mergeCell ref="E59:AJ59"/>
    <mergeCell ref="E92:H92"/>
    <mergeCell ref="E93:H93"/>
    <mergeCell ref="E75:F75"/>
    <mergeCell ref="E76:F76"/>
    <mergeCell ref="B49:C49"/>
    <mergeCell ref="E49:AJ50"/>
    <mergeCell ref="AE64:AK64"/>
    <mergeCell ref="B67:C67"/>
    <mergeCell ref="E67:AJ71"/>
    <mergeCell ref="B73:C73"/>
    <mergeCell ref="E74:F74"/>
    <mergeCell ref="E129:H129"/>
    <mergeCell ref="J129:M129"/>
    <mergeCell ref="O129:R129"/>
    <mergeCell ref="A1:AM2"/>
    <mergeCell ref="AE7:AK7"/>
    <mergeCell ref="B26:C26"/>
    <mergeCell ref="AG26:AJ26"/>
    <mergeCell ref="B43:C43"/>
    <mergeCell ref="AK61:AM61"/>
    <mergeCell ref="B12:C12"/>
    <mergeCell ref="B33:C33"/>
    <mergeCell ref="E33:AJ35"/>
    <mergeCell ref="E12:AJ14"/>
    <mergeCell ref="B16:C16"/>
    <mergeCell ref="B46:C46"/>
    <mergeCell ref="E46:AJ47"/>
    <mergeCell ref="B20:C20"/>
    <mergeCell ref="E20:AJ21"/>
    <mergeCell ref="B52:C52"/>
    <mergeCell ref="E52:AJ52"/>
    <mergeCell ref="E16:AJ18"/>
    <mergeCell ref="B37:C37"/>
    <mergeCell ref="E37:AJ37"/>
    <mergeCell ref="B78:C78"/>
    <mergeCell ref="E78:AJ79"/>
    <mergeCell ref="E135:H135"/>
    <mergeCell ref="J135:M135"/>
    <mergeCell ref="O135:R135"/>
    <mergeCell ref="T135:W135"/>
    <mergeCell ref="Y135:AB135"/>
    <mergeCell ref="AD135:AG135"/>
    <mergeCell ref="T129:W129"/>
    <mergeCell ref="Y129:AB129"/>
    <mergeCell ref="AD129:AG129"/>
    <mergeCell ref="B114:C114"/>
    <mergeCell ref="AE111:AK111"/>
    <mergeCell ref="AK83:AM83"/>
    <mergeCell ref="AE86:AK86"/>
    <mergeCell ref="B89:C89"/>
    <mergeCell ref="E102:H102"/>
    <mergeCell ref="E103:H103"/>
    <mergeCell ref="E104:H104"/>
    <mergeCell ref="E89:AJ90"/>
    <mergeCell ref="B81:C81"/>
    <mergeCell ref="E94:H94"/>
    <mergeCell ref="E81:AJ81"/>
    <mergeCell ref="AB224:AG224"/>
    <mergeCell ref="I230:K230"/>
    <mergeCell ref="I231:K231"/>
    <mergeCell ref="I232:K232"/>
    <mergeCell ref="N222:R222"/>
    <mergeCell ref="E105:H105"/>
    <mergeCell ref="AK108:AM108"/>
    <mergeCell ref="E123:H123"/>
    <mergeCell ref="E126:H126"/>
    <mergeCell ref="J126:M126"/>
    <mergeCell ref="O126:R126"/>
    <mergeCell ref="T126:W126"/>
    <mergeCell ref="Y126:AB126"/>
    <mergeCell ref="AD126:AG126"/>
    <mergeCell ref="E114:AJ121"/>
    <mergeCell ref="J123:M123"/>
    <mergeCell ref="O123:R123"/>
    <mergeCell ref="T123:W123"/>
    <mergeCell ref="Y123:AB123"/>
    <mergeCell ref="AD123:AG123"/>
    <mergeCell ref="AF167:AL167"/>
    <mergeCell ref="AK142:AM142"/>
    <mergeCell ref="AE145:AK145"/>
    <mergeCell ref="AF147:AL147"/>
    <mergeCell ref="AB221:AG221"/>
    <mergeCell ref="AB223:AG223"/>
    <mergeCell ref="B198:AB198"/>
    <mergeCell ref="B204:AB204"/>
    <mergeCell ref="B205:AB205"/>
    <mergeCell ref="B97:C97"/>
    <mergeCell ref="E97:AJ100"/>
    <mergeCell ref="AB255:AG255"/>
    <mergeCell ref="B199:AB199"/>
    <mergeCell ref="B200:AB200"/>
    <mergeCell ref="B201:AB201"/>
    <mergeCell ref="AD206:AJ206"/>
    <mergeCell ref="AD205:AJ205"/>
    <mergeCell ref="AD204:AJ204"/>
    <mergeCell ref="AD203:AJ203"/>
    <mergeCell ref="AD202:AJ202"/>
    <mergeCell ref="AD201:AJ201"/>
    <mergeCell ref="B222:G222"/>
    <mergeCell ref="I222:K222"/>
    <mergeCell ref="I221:K221"/>
    <mergeCell ref="I223:K223"/>
    <mergeCell ref="B202:AB202"/>
    <mergeCell ref="B203:AB203"/>
    <mergeCell ref="B228:G228"/>
    <mergeCell ref="E138:H138"/>
    <mergeCell ref="AK182:AM182"/>
    <mergeCell ref="AE185:AK185"/>
    <mergeCell ref="B187:AC187"/>
    <mergeCell ref="AF187:AL187"/>
    <mergeCell ref="B188:S188"/>
    <mergeCell ref="T188:AC188"/>
    <mergeCell ref="C169:AI169"/>
    <mergeCell ref="AF171:AG171"/>
    <mergeCell ref="C173:AD173"/>
    <mergeCell ref="C177:AD177"/>
    <mergeCell ref="AJ179:AK179"/>
    <mergeCell ref="B152:AI152"/>
    <mergeCell ref="AB154:AC154"/>
    <mergeCell ref="B157:AJ157"/>
    <mergeCell ref="AJ165:AK165"/>
    <mergeCell ref="B149:AC149"/>
    <mergeCell ref="B206:AB206"/>
    <mergeCell ref="AB253:AG253"/>
    <mergeCell ref="F316:AD319"/>
    <mergeCell ref="C279:D279"/>
    <mergeCell ref="AG279:AJ279"/>
    <mergeCell ref="C286:D286"/>
    <mergeCell ref="AG286:AJ286"/>
    <mergeCell ref="AK190:AM190"/>
    <mergeCell ref="AE193:AK193"/>
    <mergeCell ref="AG267:AK267"/>
    <mergeCell ref="AG268:AK268"/>
    <mergeCell ref="AG269:AK269"/>
    <mergeCell ref="AK272:AM272"/>
    <mergeCell ref="AD208:AJ208"/>
    <mergeCell ref="AD209:AJ209"/>
    <mergeCell ref="AD207:AJ207"/>
    <mergeCell ref="AD200:AJ200"/>
    <mergeCell ref="AD199:AJ199"/>
    <mergeCell ref="AD198:AJ198"/>
    <mergeCell ref="AB259:AG259"/>
    <mergeCell ref="AD210:AJ210"/>
    <mergeCell ref="AB265:AG265"/>
    <mergeCell ref="AB250:AG250"/>
    <mergeCell ref="AB251:AG251"/>
    <mergeCell ref="B207:AB207"/>
    <mergeCell ref="AB256:AG256"/>
    <mergeCell ref="F312:AD313"/>
    <mergeCell ref="A315:B315"/>
    <mergeCell ref="C315:D315"/>
    <mergeCell ref="AK298:AM298"/>
    <mergeCell ref="A305:B305"/>
    <mergeCell ref="C305:D305"/>
    <mergeCell ref="F305:AD307"/>
    <mergeCell ref="F308:AD309"/>
    <mergeCell ref="F310:AD311"/>
    <mergeCell ref="AG305:AK305"/>
    <mergeCell ref="I228:K228"/>
    <mergeCell ref="I229:K229"/>
    <mergeCell ref="B229:G229"/>
    <mergeCell ref="B230:G230"/>
    <mergeCell ref="B231:G231"/>
    <mergeCell ref="B232:G232"/>
    <mergeCell ref="B225:G225"/>
    <mergeCell ref="B226:G226"/>
    <mergeCell ref="B227:G227"/>
    <mergeCell ref="N223:R223"/>
    <mergeCell ref="B208:AB208"/>
    <mergeCell ref="AB257:AG257"/>
    <mergeCell ref="AE575:AK575"/>
    <mergeCell ref="A323:B323"/>
    <mergeCell ref="C323:D323"/>
    <mergeCell ref="F329:AD333"/>
    <mergeCell ref="I337:AD340"/>
    <mergeCell ref="I342:AD344"/>
    <mergeCell ref="F324:AD325"/>
    <mergeCell ref="C356:AJ360"/>
    <mergeCell ref="C361:AJ361"/>
    <mergeCell ref="C402:D402"/>
    <mergeCell ref="AF402:AL402"/>
    <mergeCell ref="F405:AF409"/>
    <mergeCell ref="C410:D410"/>
    <mergeCell ref="AF410:AL410"/>
    <mergeCell ref="C455:D455"/>
    <mergeCell ref="AF455:AL455"/>
    <mergeCell ref="F458:AE461"/>
    <mergeCell ref="C462:D462"/>
    <mergeCell ref="AF462:AL462"/>
    <mergeCell ref="C466:D466"/>
    <mergeCell ref="C491:D491"/>
    <mergeCell ref="F491:AE492"/>
    <mergeCell ref="C554:D554"/>
    <mergeCell ref="F554:AL555"/>
    <mergeCell ref="B577:AJ585"/>
    <mergeCell ref="B629:C629"/>
    <mergeCell ref="E629:AG632"/>
    <mergeCell ref="AJ634:AK634"/>
    <mergeCell ref="E638:AD645"/>
    <mergeCell ref="AF638:AL638"/>
    <mergeCell ref="AF591:AL591"/>
    <mergeCell ref="AF598:AL598"/>
    <mergeCell ref="AF604:AL604"/>
    <mergeCell ref="AF610:AL610"/>
    <mergeCell ref="AF616:AL616"/>
    <mergeCell ref="H619:I619"/>
    <mergeCell ref="I627:AE627"/>
    <mergeCell ref="O614:AB614"/>
    <mergeCell ref="R619:W619"/>
    <mergeCell ref="Y620:AM621"/>
    <mergeCell ref="AF686:AL686"/>
    <mergeCell ref="H663:I663"/>
    <mergeCell ref="AJ665:AK665"/>
    <mergeCell ref="E670:AC672"/>
    <mergeCell ref="AF670:AL670"/>
    <mergeCell ref="E674:AC676"/>
    <mergeCell ref="AF674:AL674"/>
    <mergeCell ref="X647:Y647"/>
    <mergeCell ref="AF649:AL649"/>
    <mergeCell ref="H651:I651"/>
    <mergeCell ref="AJ653:AK653"/>
    <mergeCell ref="AF657:AL657"/>
    <mergeCell ref="AF660:AL660"/>
    <mergeCell ref="E657:AD658"/>
    <mergeCell ref="AO708:AP708"/>
    <mergeCell ref="E712:AB716"/>
    <mergeCell ref="AF712:AL712"/>
    <mergeCell ref="H722:I722"/>
    <mergeCell ref="E718:AB720"/>
    <mergeCell ref="E690:AC692"/>
    <mergeCell ref="AF690:AL690"/>
    <mergeCell ref="E694:AC696"/>
    <mergeCell ref="AF694:AL694"/>
    <mergeCell ref="H698:I698"/>
    <mergeCell ref="AJ700:AK700"/>
    <mergeCell ref="E704:AB705"/>
    <mergeCell ref="AF704:AL704"/>
    <mergeCell ref="AP738:AQ738"/>
    <mergeCell ref="E742:AB743"/>
    <mergeCell ref="AF742:AL742"/>
    <mergeCell ref="E745:AB746"/>
    <mergeCell ref="AF745:AL745"/>
    <mergeCell ref="AJ724:AK724"/>
    <mergeCell ref="E728:AB730"/>
    <mergeCell ref="AF728:AL728"/>
    <mergeCell ref="E732:AB734"/>
    <mergeCell ref="AF732:AL732"/>
    <mergeCell ref="H736:I736"/>
    <mergeCell ref="AJ738:AK738"/>
    <mergeCell ref="AF798:AL798"/>
    <mergeCell ref="H803:I803"/>
    <mergeCell ref="AJ805:AK805"/>
    <mergeCell ref="H776:I776"/>
    <mergeCell ref="AJ778:AK778"/>
    <mergeCell ref="E782:AD785"/>
    <mergeCell ref="AF782:AL782"/>
    <mergeCell ref="E787:AD790"/>
    <mergeCell ref="AF787:AL787"/>
    <mergeCell ref="E798:AD801"/>
    <mergeCell ref="H764:I764"/>
    <mergeCell ref="AJ766:AK766"/>
    <mergeCell ref="E770:AB771"/>
    <mergeCell ref="AF770:AL770"/>
    <mergeCell ref="E773:AB774"/>
    <mergeCell ref="AF773:AL773"/>
    <mergeCell ref="H748:I748"/>
    <mergeCell ref="AJ750:AK750"/>
    <mergeCell ref="E754:AB757"/>
    <mergeCell ref="AF754:AL754"/>
    <mergeCell ref="E759:AA762"/>
    <mergeCell ref="AF759:AL759"/>
    <mergeCell ref="AS371:AT371"/>
    <mergeCell ref="AS373:AT373"/>
    <mergeCell ref="C375:AJ380"/>
    <mergeCell ref="AQ379:AR379"/>
    <mergeCell ref="C425:D425"/>
    <mergeCell ref="F425:AE428"/>
    <mergeCell ref="AF426:AL426"/>
    <mergeCell ref="F430:AE433"/>
    <mergeCell ref="C434:D434"/>
    <mergeCell ref="AF434:AL434"/>
    <mergeCell ref="C412:D412"/>
    <mergeCell ref="AF412:AL412"/>
    <mergeCell ref="F416:AF419"/>
    <mergeCell ref="C420:D420"/>
    <mergeCell ref="AF420:AL420"/>
    <mergeCell ref="C422:D422"/>
    <mergeCell ref="AF422:AL422"/>
    <mergeCell ref="AS375:AT375"/>
    <mergeCell ref="B826:S826"/>
    <mergeCell ref="T826:Y826"/>
    <mergeCell ref="Z826:AE826"/>
    <mergeCell ref="AF826:AK826"/>
    <mergeCell ref="B827:S827"/>
    <mergeCell ref="T827:Y827"/>
    <mergeCell ref="Z827:AE827"/>
    <mergeCell ref="AF827:AK827"/>
    <mergeCell ref="B568:AJ570"/>
    <mergeCell ref="AK572:AM572"/>
    <mergeCell ref="A819:AM820"/>
    <mergeCell ref="A822:AM822"/>
    <mergeCell ref="A823:AM823"/>
    <mergeCell ref="T824:Y825"/>
    <mergeCell ref="Z824:AE825"/>
    <mergeCell ref="AF824:AK825"/>
    <mergeCell ref="E707:AB710"/>
    <mergeCell ref="AF707:AL707"/>
    <mergeCell ref="E678:AC680"/>
    <mergeCell ref="AF678:AL678"/>
    <mergeCell ref="AE679:AK679"/>
    <mergeCell ref="E682:AC684"/>
    <mergeCell ref="AF682:AL682"/>
    <mergeCell ref="E686:AC688"/>
    <mergeCell ref="B830:S830"/>
    <mergeCell ref="T830:Y830"/>
    <mergeCell ref="Z830:AE830"/>
    <mergeCell ref="AF830:AK830"/>
    <mergeCell ref="C831:S831"/>
    <mergeCell ref="T831:Y831"/>
    <mergeCell ref="Z831:AE831"/>
    <mergeCell ref="AF831:AK831"/>
    <mergeCell ref="B828:S828"/>
    <mergeCell ref="T828:Y828"/>
    <mergeCell ref="Z828:AE828"/>
    <mergeCell ref="AF828:AK828"/>
    <mergeCell ref="B829:S829"/>
    <mergeCell ref="T829:Y829"/>
    <mergeCell ref="Z829:AE829"/>
    <mergeCell ref="AF829:AK829"/>
    <mergeCell ref="T842:Y842"/>
    <mergeCell ref="Z842:AE842"/>
    <mergeCell ref="AF842:AK842"/>
    <mergeCell ref="A843:AE844"/>
    <mergeCell ref="AF843:AK844"/>
    <mergeCell ref="B839:S839"/>
    <mergeCell ref="T839:Y839"/>
    <mergeCell ref="Z839:AE839"/>
    <mergeCell ref="AF839:AK839"/>
    <mergeCell ref="B840:S840"/>
    <mergeCell ref="T840:Y840"/>
    <mergeCell ref="Z840:AE840"/>
    <mergeCell ref="AF840:AK840"/>
    <mergeCell ref="T841:Y841"/>
    <mergeCell ref="Z841:AE841"/>
    <mergeCell ref="AF841:AK841"/>
    <mergeCell ref="B841:S841"/>
    <mergeCell ref="B836:S836"/>
    <mergeCell ref="T836:Y836"/>
    <mergeCell ref="Z836:AE836"/>
    <mergeCell ref="AF836:AK836"/>
    <mergeCell ref="B837:S837"/>
    <mergeCell ref="T837:Y837"/>
    <mergeCell ref="Z837:AE837"/>
    <mergeCell ref="AF837:AK837"/>
    <mergeCell ref="T838:Y838"/>
    <mergeCell ref="Z838:AE838"/>
    <mergeCell ref="AF838:AK838"/>
    <mergeCell ref="B834:S834"/>
    <mergeCell ref="T834:Y834"/>
    <mergeCell ref="Z834:AE834"/>
    <mergeCell ref="AF834:AK834"/>
    <mergeCell ref="B835:S835"/>
    <mergeCell ref="T835:Y835"/>
    <mergeCell ref="Z835:AE835"/>
    <mergeCell ref="AF835:AK835"/>
    <mergeCell ref="C832:S832"/>
    <mergeCell ref="T832:Y832"/>
    <mergeCell ref="Z832:AE832"/>
    <mergeCell ref="AF832:AK832"/>
    <mergeCell ref="B833:S833"/>
    <mergeCell ref="T833:Y833"/>
    <mergeCell ref="Z833:AE833"/>
    <mergeCell ref="AF833:AK833"/>
    <mergeCell ref="C523:D523"/>
    <mergeCell ref="C525:D525"/>
    <mergeCell ref="G526:AF526"/>
    <mergeCell ref="C528:D528"/>
    <mergeCell ref="C532:D532"/>
    <mergeCell ref="G532:AF533"/>
    <mergeCell ref="C536:D536"/>
    <mergeCell ref="F537:AF538"/>
    <mergeCell ref="C479:D479"/>
    <mergeCell ref="AF479:AL479"/>
    <mergeCell ref="C514:D514"/>
    <mergeCell ref="C470:D470"/>
    <mergeCell ref="F470:AE473"/>
    <mergeCell ref="AF470:AL470"/>
    <mergeCell ref="F475:AF478"/>
    <mergeCell ref="AE485:AK485"/>
    <mergeCell ref="F397:AF401"/>
    <mergeCell ref="T228:Y228"/>
    <mergeCell ref="AE354:AK354"/>
    <mergeCell ref="AB222:AG222"/>
    <mergeCell ref="I225:K225"/>
    <mergeCell ref="I226:K226"/>
    <mergeCell ref="N229:R229"/>
    <mergeCell ref="N226:R226"/>
    <mergeCell ref="B223:G223"/>
    <mergeCell ref="B224:G224"/>
    <mergeCell ref="AF466:AL466"/>
    <mergeCell ref="C436:D436"/>
    <mergeCell ref="AF436:AL436"/>
    <mergeCell ref="F440:AE442"/>
    <mergeCell ref="C443:D443"/>
    <mergeCell ref="AF443:AL443"/>
    <mergeCell ref="F446:AE454"/>
    <mergeCell ref="A346:B346"/>
    <mergeCell ref="C346:D346"/>
    <mergeCell ref="AK816:AM816"/>
    <mergeCell ref="AP567:AR567"/>
    <mergeCell ref="AP570:AR570"/>
    <mergeCell ref="AP569:AR569"/>
    <mergeCell ref="N227:R227"/>
    <mergeCell ref="N228:R228"/>
    <mergeCell ref="V498:X498"/>
    <mergeCell ref="V500:X500"/>
    <mergeCell ref="V505:X505"/>
    <mergeCell ref="C382:AJ384"/>
    <mergeCell ref="U386:W386"/>
    <mergeCell ref="U387:W387"/>
    <mergeCell ref="AQ388:AR388"/>
    <mergeCell ref="F390:AF393"/>
    <mergeCell ref="C394:D394"/>
    <mergeCell ref="AF394:AL394"/>
    <mergeCell ref="C363:AJ365"/>
    <mergeCell ref="C366:AJ374"/>
    <mergeCell ref="H792:I792"/>
    <mergeCell ref="AJ794:AK794"/>
    <mergeCell ref="N231:R231"/>
    <mergeCell ref="N232:R232"/>
    <mergeCell ref="T227:Y227"/>
    <mergeCell ref="AP565:AR565"/>
    <mergeCell ref="F558:AL559"/>
    <mergeCell ref="F561:AK562"/>
    <mergeCell ref="AF564:AJ564"/>
    <mergeCell ref="AF565:AJ565"/>
    <mergeCell ref="AF566:AJ566"/>
    <mergeCell ref="AK482:AM482"/>
    <mergeCell ref="N224:R224"/>
    <mergeCell ref="N225:R225"/>
    <mergeCell ref="AK548:AM548"/>
    <mergeCell ref="F466:AE468"/>
    <mergeCell ref="AB246:AG246"/>
    <mergeCell ref="AB239:AG239"/>
    <mergeCell ref="AB242:AG242"/>
    <mergeCell ref="F516:Z516"/>
    <mergeCell ref="F518:AE519"/>
    <mergeCell ref="F521:H521"/>
    <mergeCell ref="V509:X509"/>
    <mergeCell ref="V511:X511"/>
    <mergeCell ref="F493:Z493"/>
    <mergeCell ref="AE551:AK551"/>
    <mergeCell ref="F514:AE515"/>
    <mergeCell ref="F346:AD348"/>
    <mergeCell ref="AK351:AM351"/>
    <mergeCell ref="I227:K227"/>
    <mergeCell ref="AP572:AR572"/>
    <mergeCell ref="E132:H132"/>
    <mergeCell ref="J132:M132"/>
    <mergeCell ref="O132:R132"/>
    <mergeCell ref="T132:W132"/>
    <mergeCell ref="Y132:AB132"/>
    <mergeCell ref="AD132:AG132"/>
    <mergeCell ref="E137:H137"/>
    <mergeCell ref="AB243:AG243"/>
    <mergeCell ref="AB225:AG225"/>
    <mergeCell ref="AB226:AG226"/>
    <mergeCell ref="AB227:AG227"/>
    <mergeCell ref="AB228:AG228"/>
    <mergeCell ref="T221:Y221"/>
    <mergeCell ref="T224:Y224"/>
    <mergeCell ref="T225:Y225"/>
    <mergeCell ref="T226:Y226"/>
    <mergeCell ref="N230:R230"/>
    <mergeCell ref="AP566:AR566"/>
    <mergeCell ref="I224:K224"/>
    <mergeCell ref="AB249:AG249"/>
    <mergeCell ref="AB233:AG233"/>
    <mergeCell ref="AB229:AG229"/>
    <mergeCell ref="AP563:AR563"/>
    <mergeCell ref="E809:AD810"/>
    <mergeCell ref="AF809:AL809"/>
    <mergeCell ref="H812:I812"/>
    <mergeCell ref="AJ814:AK814"/>
    <mergeCell ref="B160:AJ161"/>
    <mergeCell ref="C162:AJ162"/>
    <mergeCell ref="C163:Z163"/>
    <mergeCell ref="AJ163:AK163"/>
    <mergeCell ref="F279:AD286"/>
    <mergeCell ref="AB230:AG230"/>
    <mergeCell ref="AB231:AG231"/>
    <mergeCell ref="AB232:AG232"/>
    <mergeCell ref="T229:Y229"/>
    <mergeCell ref="T230:Y230"/>
    <mergeCell ref="T231:Y231"/>
    <mergeCell ref="T232:Y232"/>
    <mergeCell ref="AB244:AG244"/>
    <mergeCell ref="C557:D557"/>
    <mergeCell ref="B209:AB209"/>
    <mergeCell ref="T223:Y223"/>
    <mergeCell ref="T222:Y222"/>
    <mergeCell ref="C518:D518"/>
    <mergeCell ref="D508:E508"/>
    <mergeCell ref="C495:D495"/>
  </mergeCells>
  <conditionalFormatting sqref="E718:AB720">
    <cfRule type="expression" dxfId="15" priority="1">
      <formula>AND(NOT($AO$708),OR($H$722="(ii)",$H$722="(iii)"))</formula>
    </cfRule>
  </conditionalFormatting>
  <conditionalFormatting sqref="Q619">
    <cfRule type="expression" dxfId="14" priority="2">
      <formula>$H$619="(iv)"</formula>
    </cfRule>
  </conditionalFormatting>
  <conditionalFormatting sqref="R619:W619">
    <cfRule type="expression" dxfId="13" priority="3">
      <formula>$H$619="(iv)"</formula>
    </cfRule>
  </conditionalFormatting>
  <conditionalFormatting sqref="T834:Y834">
    <cfRule type="expression" dxfId="12" priority="10" stopIfTrue="1">
      <formula>ISERROR(T834)</formula>
    </cfRule>
  </conditionalFormatting>
  <conditionalFormatting sqref="T839:Z841">
    <cfRule type="expression" dxfId="11" priority="4" stopIfTrue="1">
      <formula>ISERROR(T839)</formula>
    </cfRule>
  </conditionalFormatting>
  <conditionalFormatting sqref="AF826:AK829">
    <cfRule type="expression" dxfId="10" priority="6" stopIfTrue="1">
      <formula>ISERROR(AF826)</formula>
    </cfRule>
  </conditionalFormatting>
  <conditionalFormatting sqref="AF834:AK834">
    <cfRule type="expression" dxfId="9" priority="11" stopIfTrue="1">
      <formula>ISERROR(AF834)</formula>
    </cfRule>
  </conditionalFormatting>
  <conditionalFormatting sqref="AF839:AK841">
    <cfRule type="expression" dxfId="8" priority="12" stopIfTrue="1">
      <formula>ISERROR(AF839)</formula>
    </cfRule>
  </conditionalFormatting>
  <conditionalFormatting sqref="AN468:AN472 AU484 AV485:AV487 T830:AK830 T831:AF833 AG833:AK833 T835:AK837 T838:AF838 AF841:AF843 T842:AE842 AG842:AL842">
    <cfRule type="expression" dxfId="7" priority="16" stopIfTrue="1">
      <formula>ISERROR(T468)</formula>
    </cfRule>
  </conditionalFormatting>
  <conditionalFormatting sqref="AP484">
    <cfRule type="expression" dxfId="6" priority="15" stopIfTrue="1">
      <formula>ISERROR(AP484)</formula>
    </cfRule>
  </conditionalFormatting>
  <dataValidations count="35">
    <dataValidation type="list" showInputMessage="1" showErrorMessage="1" sqref="T188:AC188" xr:uid="{00000000-0002-0000-0800-000006000000}">
      <formula1>$AS$188:$AS$190</formula1>
    </dataValidation>
    <dataValidation type="list" allowBlank="1" showInputMessage="1" showErrorMessage="1" sqref="B152:AI152" xr:uid="{00000000-0002-0000-0800-000008000000}">
      <formula1>$AO$150:$AO$153</formula1>
    </dataValidation>
    <dataValidation type="list" allowBlank="1" showInputMessage="1" showErrorMessage="1" sqref="C286:D286 C557:D557 C346:D346 C323:D323 C315:D315 C279:D279 B97:C97 C536:D536 C462:D462 C528:D528 C554:D554 C479:D479 C514:D514 C523:D523 C470:D470 C495:D495 C532:D532 C518:D518 C491:D491 C466:D466 C455:D455 C443:D443 C410:D410 C394:D394 C402:D402 C436:D436 C425:D425 C422:D422 C420:D420 C412:D412 C434:D434 X647:Y647 B26:C26 B43:C43 B46:C46 B49:C49 B30:C30 B81:C81 B12:C12 B20:C20 E74:F76 B67:C67 B73:C73 B78:C78 B114:C114 B89:C89 B52:C52 B16:C16 B18:C18 B37:C37 B33:C33 B39:C39 B56:C56 B59:C59" xr:uid="{00000000-0002-0000-0800-000009000000}">
      <formula1>"N/A, Yes"</formula1>
    </dataValidation>
    <dataValidation type="list" allowBlank="1" showInputMessage="1" showErrorMessage="1" sqref="G526:AF526" xr:uid="{00000000-0002-0000-0800-00000A000000}">
      <formula1>$AO$501:$AO$504</formula1>
    </dataValidation>
    <dataValidation type="list" allowBlank="1" showInputMessage="1" showErrorMessage="1" sqref="H776:I776 H764:I764 H748:I748 H736:I736 H651:I651 H663:I663" xr:uid="{00000000-0002-0000-0800-00000B000000}">
      <formula1>$AO$599:$AO$601</formula1>
    </dataValidation>
    <dataValidation type="list" allowBlank="1" showInputMessage="1" showErrorMessage="1" sqref="H663:I663" xr:uid="{00000000-0002-0000-0800-00000C000000}">
      <formula1>$AO$599:$AO$600</formula1>
    </dataValidation>
    <dataValidation type="list" showInputMessage="1" showErrorMessage="1" sqref="B629:C629" xr:uid="{00000000-0002-0000-0800-00000D000000}">
      <formula1>$AP$587:$AP$588</formula1>
    </dataValidation>
    <dataValidation type="list" allowBlank="1" showInputMessage="1" showErrorMessage="1" sqref="AB154:AC154 AF171:AG171 AJ163:AK163" xr:uid="{00000000-0002-0000-0800-00000E000000}">
      <formula1>"N/A,Yes,"</formula1>
    </dataValidation>
    <dataValidation type="list" allowBlank="1" showInputMessage="1" showErrorMessage="1" sqref="B157" xr:uid="{00000000-0002-0000-0800-00000F000000}">
      <formula1>$AO$155:$AO$157</formula1>
    </dataValidation>
    <dataValidation type="list" allowBlank="1" showInputMessage="1" showErrorMessage="1" sqref="F516:Z516" xr:uid="{00000000-0002-0000-0800-000010000000}">
      <formula1>$AO$484:$AO$492</formula1>
    </dataValidation>
    <dataValidation type="list" allowBlank="1" showInputMessage="1" showErrorMessage="1" sqref="F521:H521" xr:uid="{00000000-0002-0000-0800-000011000000}">
      <formula1>$AO$494:$AO$496</formula1>
    </dataValidation>
    <dataValidation type="list" allowBlank="1" showInputMessage="1" showErrorMessage="1" sqref="F537" xr:uid="{00000000-0002-0000-0800-000012000000}">
      <formula1>$AO$507:$AO$510</formula1>
    </dataValidation>
    <dataValidation type="list" allowBlank="1" showInputMessage="1" showErrorMessage="1" sqref="H803:I803 H812:I812" xr:uid="{00000000-0002-0000-0800-000013000000}">
      <formula1>$AO$797:$AO$798</formula1>
    </dataValidation>
    <dataValidation type="list" allowBlank="1" showInputMessage="1" showErrorMessage="1" sqref="B223:G232" xr:uid="{00000000-0002-0000-0800-000014000000}">
      <formula1>"(select),SRO/Studio,1 bedroom,2 bedroom,3 bedroom,4 bedroom,5 bedroom"</formula1>
    </dataValidation>
    <dataValidation type="list" allowBlank="1" showInputMessage="1" showErrorMessage="1" sqref="I342:AD344" xr:uid="{00000000-0002-0000-0800-000015000000}">
      <formula1>$AP$343:$AP$345</formula1>
    </dataValidation>
    <dataValidation type="list" allowBlank="1" showInputMessage="1" showErrorMessage="1" sqref="I337" xr:uid="{00000000-0002-0000-0800-000016000000}">
      <formula1>$AP$336:$AP$340</formula1>
    </dataValidation>
    <dataValidation type="list" allowBlank="1" showInputMessage="1" showErrorMessage="1" sqref="O614" xr:uid="{00000000-0002-0000-0800-000017000000}">
      <formula1>"(select),Dial-a-ride service,Project-operated van service"</formula1>
    </dataValidation>
    <dataValidation type="list" allowBlank="1" showInputMessage="1" showErrorMessage="1" sqref="C173:AD173" xr:uid="{00000000-0002-0000-0800-000018000000}">
      <formula1>$AO$176:$AO$178</formula1>
    </dataValidation>
    <dataValidation type="list" allowBlank="1" showInputMessage="1" showErrorMessage="1" sqref="C169:AI169" xr:uid="{00000000-0002-0000-0800-000019000000}">
      <formula1>$AO$169:$AO$172</formula1>
    </dataValidation>
    <dataValidation type="list" allowBlank="1" showInputMessage="1" showErrorMessage="1" sqref="C170:AD170" xr:uid="{00000000-0002-0000-0800-00001A000000}">
      <formula1>$AO$169:$AO$174</formula1>
    </dataValidation>
    <dataValidation type="list" allowBlank="1" showInputMessage="1" showErrorMessage="1" sqref="H619:I619 H621:I625" xr:uid="{00000000-0002-0000-0800-00001C000000}">
      <formula1>$AO$599:$AO$604</formula1>
    </dataValidation>
    <dataValidation type="list" allowBlank="1" showInputMessage="1" showErrorMessage="1" sqref="I627" xr:uid="{00000000-0002-0000-0800-00001D000000}">
      <formula1>$AO$626:$AO$628</formula1>
    </dataValidation>
    <dataValidation type="list" allowBlank="1" showInputMessage="1" showErrorMessage="1" sqref="F329:AD333" xr:uid="{00000000-0002-0000-0800-00001E000000}">
      <formula1>$AP$324:$AP$327</formula1>
    </dataValidation>
    <dataValidation type="list" allowBlank="1" showInputMessage="1" showErrorMessage="1" sqref="H698:I698" xr:uid="{00000000-0002-0000-0800-00001F000000}">
      <formula1>$AO$646:$AO$653</formula1>
    </dataValidation>
    <dataValidation type="list" allowBlank="1" showInputMessage="1" showErrorMessage="1" sqref="C305:D305" xr:uid="{68BBA6C5-CDA3-4BE1-9DAC-7CD27DB68D23}">
      <formula1>"N/A, Yes, 50% Met"</formula1>
    </dataValidation>
    <dataValidation type="list" showInputMessage="1" showErrorMessage="1" sqref="B187:AC187" xr:uid="{00000000-0002-0000-0800-000007000000}">
      <formula1>$AP$184:$AP$190</formula1>
    </dataValidation>
    <dataValidation type="list" allowBlank="1" showInputMessage="1" showErrorMessage="1" sqref="V500:X500" xr:uid="{00000000-0002-0000-0800-000000000000}">
      <formula1>$AT$494:$AT$496</formula1>
    </dataValidation>
    <dataValidation type="list" allowBlank="1" showInputMessage="1" showErrorMessage="1" sqref="V509:X509" xr:uid="{00000000-0002-0000-0800-000001000000}">
      <formula1>$BB$494:$BB$497</formula1>
    </dataValidation>
    <dataValidation type="list" allowBlank="1" showInputMessage="1" showErrorMessage="1" sqref="V511:X511" xr:uid="{00000000-0002-0000-0800-000002000000}">
      <formula1>$BF$494:$BF$496</formula1>
    </dataValidation>
    <dataValidation type="list" allowBlank="1" showInputMessage="1" showErrorMessage="1" sqref="F493:Z493" xr:uid="{00000000-0002-0000-0800-000003000000}">
      <formula1>$AT$484:$AT$492</formula1>
    </dataValidation>
    <dataValidation type="list" allowBlank="1" showInputMessage="1" showErrorMessage="1" sqref="V505:X505" xr:uid="{00000000-0002-0000-0800-000004000000}">
      <formula1>$AT$498:$AT$500</formula1>
    </dataValidation>
    <dataValidation type="list" allowBlank="1" showInputMessage="1" showErrorMessage="1" sqref="V498:X498" xr:uid="{00000000-0002-0000-0800-000005000000}">
      <formula1>$AW$494:$AW$496</formula1>
    </dataValidation>
    <dataValidation type="list" allowBlank="1" showInputMessage="1" showErrorMessage="1" sqref="R619:W619" xr:uid="{A3E65FF6-96AE-443D-AFEF-E3A195C0059C}">
      <formula1>$AO$606:$AO$608</formula1>
    </dataValidation>
    <dataValidation type="list" allowBlank="1" showInputMessage="1" showErrorMessage="1" sqref="H792:I792" xr:uid="{00000000-0002-0000-0800-00001B000000}">
      <formula1>$AO$782:$AO$784</formula1>
    </dataValidation>
    <dataValidation type="list" allowBlank="1" showInputMessage="1" showErrorMessage="1" sqref="H722:I722" xr:uid="{A32E3DED-F73B-45CE-8CA1-108E6498C33A}">
      <formula1>$AO$716:$AO$719</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2" max="38" man="1"/>
    <brk id="109" max="38" man="1"/>
    <brk id="299" max="38" man="1"/>
    <brk id="573" max="38" man="1"/>
    <brk id="693" max="38" man="1"/>
    <brk id="751" max="38" man="1"/>
    <brk id="404" max="38" man="1"/>
    <brk id="818" max="38" man="1"/>
  </rowBreaks>
  <ignoredErrors>
    <ignoredError sqref="E390 E397 E405 E416 E425" numberStoredAsText="1"/>
  </ignoredErrors>
  <legacyDrawing r:id="rId2"/>
</worksheet>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Kira Heyden</cp:lastModifiedBy>
  <cp:lastPrinted>2026-05-15T00:15:43Z</cp:lastPrinted>
  <dcterms:created xsi:type="dcterms:W3CDTF">2007-12-27T18:26:28Z</dcterms:created>
  <dcterms:modified xsi:type="dcterms:W3CDTF">2026-05-15T20:18:29Z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cac78fa3-8c3c-40be-95d9-faf236c08e18_Enabled">
    <vt:lpwstr>true</vt:lpwstr>
  </property>
  <property fmtid="{D5CDD505-2E9C-101B-9397-08002B2CF9AE}" pid="3" name="MSIP_Label_cac78fa3-8c3c-40be-95d9-faf236c08e18_SetDate">
    <vt:lpwstr>2026-05-07T21:26:28Z</vt:lpwstr>
  </property>
  <property fmtid="{D5CDD505-2E9C-101B-9397-08002B2CF9AE}" pid="4" name="MSIP_Label_cac78fa3-8c3c-40be-95d9-faf236c08e18_Method">
    <vt:lpwstr>Standard</vt:lpwstr>
  </property>
  <property fmtid="{D5CDD505-2E9C-101B-9397-08002B2CF9AE}" pid="5" name="MSIP_Label_cac78fa3-8c3c-40be-95d9-faf236c08e18_Name">
    <vt:lpwstr>defa4170-0d19-0005-0004-bc88714345d2</vt:lpwstr>
  </property>
  <property fmtid="{D5CDD505-2E9C-101B-9397-08002B2CF9AE}" pid="6" name="MSIP_Label_cac78fa3-8c3c-40be-95d9-faf236c08e18_SiteId">
    <vt:lpwstr>9866d379-860f-4d99-883c-b43b01844cfd</vt:lpwstr>
  </property>
  <property fmtid="{D5CDD505-2E9C-101B-9397-08002B2CF9AE}" pid="7" name="MSIP_Label_cac78fa3-8c3c-40be-95d9-faf236c08e18_ActionId">
    <vt:lpwstr>aa0f653a-4599-41c0-9371-98e4d1520781</vt:lpwstr>
  </property>
  <property fmtid="{D5CDD505-2E9C-101B-9397-08002B2CF9AE}" pid="8" name="MSIP_Label_cac78fa3-8c3c-40be-95d9-faf236c08e18_ContentBits">
    <vt:lpwstr>0</vt:lpwstr>
  </property>
  <property fmtid="{D5CDD505-2E9C-101B-9397-08002B2CF9AE}" pid="9" name="MSIP_Label_cac78fa3-8c3c-40be-95d9-faf236c08e18_Tag">
    <vt:lpwstr>10, 3, 0, 1</vt:lpwstr>
  </property>
  <property fmtid="{D5CDD505-2E9C-101B-9397-08002B2CF9AE}" pid="10" name="SS Version">
    <vt:lpwstr>25.3</vt:lpwstr>
  </property>
</Properties>
</file>